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Z:\New EcoInnovation\Calculator\"/>
    </mc:Choice>
  </mc:AlternateContent>
  <xr:revisionPtr revIDLastSave="0" documentId="13_ncr:1_{8B4E6041-E83F-4844-ABA9-5465312389D5}" xr6:coauthVersionLast="47" xr6:coauthVersionMax="47" xr10:uidLastSave="{00000000-0000-0000-0000-000000000000}"/>
  <bookViews>
    <workbookView xWindow="-86520" yWindow="-120" windowWidth="29040" windowHeight="15720" tabRatio="810" activeTab="4" xr2:uid="{00000000-000D-0000-FFFF-FFFF00000000}"/>
  </bookViews>
  <sheets>
    <sheet name="SINGLE SHOWER" sheetId="26" r:id="rId1"/>
    <sheet name="SCENARIO 1 2 3 DATA" sheetId="27" state="hidden" r:id="rId2"/>
    <sheet name="DUAL SHOWER" sheetId="28" r:id="rId3"/>
    <sheet name="SCENARIO 4 5 6 DATA" sheetId="29" state="hidden" r:id="rId4"/>
    <sheet name="MULTI-RES" sheetId="30" r:id="rId5"/>
    <sheet name="SCENARIO 7 8 DATA" sheetId="31" state="hidden" r:id="rId6"/>
    <sheet name="Drop Down Menus" sheetId="12" r:id="rId7"/>
  </sheets>
  <definedNames>
    <definedName name="building_config" localSheetId="1">'SCENARIO 1 2 3 DATA'!#REF!</definedName>
    <definedName name="building_config" localSheetId="3">'SCENARIO 4 5 6 DATA'!#REF!</definedName>
    <definedName name="building_config" localSheetId="5">'SCENARIO 7 8 DATA'!#REF!</definedName>
    <definedName name="building_config">#REF!</definedName>
    <definedName name="configuration">'Drop Down Menus'!$A$3:$A$5</definedName>
    <definedName name="configurationa">'Drop Down Menus'!$B$3:$B$5</definedName>
    <definedName name="configurationb">'Drop Down Menus'!$C$3:$C$5</definedName>
    <definedName name="configurationc">'Drop Down Menus'!$E$3:$E$9</definedName>
    <definedName name="energy">'Drop Down Menus'!$F$3:$F$6</definedName>
    <definedName name="energy1">'Drop Down Menus'!$F$3:$F$6</definedName>
    <definedName name="flow_rate_per_application">'SINGLE SHOWER'!$C$31</definedName>
    <definedName name="flow_rate_per_applicationa" localSheetId="2">'DUAL SHOWER'!$C$30</definedName>
    <definedName name="flowrate_per_unit" localSheetId="2">'DUAL SHOWER'!#REF!</definedName>
    <definedName name="flowrate_per_unit" localSheetId="4">'MULTI-RES'!#REF!</definedName>
    <definedName name="flowunits">'Drop Down Menus'!$H$11:$H$12</definedName>
    <definedName name="gangflow">'Drop Down Menus'!$A$8:$A$9</definedName>
    <definedName name="heater_efficiency">#REF!</definedName>
    <definedName name="heater_efficiencya" localSheetId="2">'DUAL SHOWER'!$C$31</definedName>
    <definedName name="heater_efficiencya" localSheetId="0">'SINGLE SHOWER'!$C$32</definedName>
    <definedName name="imperial_flow_rate">#REF!</definedName>
    <definedName name="Industrial_flowrate_per_unit" localSheetId="2">'DUAL SHOWER'!#REF!</definedName>
    <definedName name="Industrial_flowrate_per_unit" localSheetId="4">'MULTI-RES'!#REF!</definedName>
    <definedName name="Industrial_flowrate_per_unit" localSheetId="0">'SINGLE SHOWER'!#REF!</definedName>
    <definedName name="Industrial_flowrate_per_unit">#REF!</definedName>
    <definedName name="Industrial_max" localSheetId="2">'DUAL SHOWER'!#REF!</definedName>
    <definedName name="Industrial_max" localSheetId="4">'MULTI-RES'!#REF!</definedName>
    <definedName name="Industrial_max" localSheetId="0">'SINGLE SHOWER'!#REF!</definedName>
    <definedName name="Industrial_max">#REF!</definedName>
    <definedName name="Industrial_max_apts_per_column" localSheetId="2">'DUAL SHOWER'!#REF!</definedName>
    <definedName name="Industrial_max_apts_per_column" localSheetId="4">'MULTI-RES'!#REF!</definedName>
    <definedName name="Industrial_max_apts_per_column" localSheetId="0">'SINGLE SHOWER'!#REF!</definedName>
    <definedName name="Industrial_max_apts_per_column">#REF!</definedName>
    <definedName name="Industrial_min_apts_per_column" localSheetId="2">'DUAL SHOWER'!#REF!</definedName>
    <definedName name="Industrial_min_apts_per_column" localSheetId="4">'MULTI-RES'!#REF!</definedName>
    <definedName name="Industrial_min_apts_per_column" localSheetId="0">'SINGLE SHOWER'!#REF!</definedName>
    <definedName name="Industrial_min_apts_per_column">#REF!</definedName>
    <definedName name="Industrial_number_of_apts" localSheetId="2">'DUAL SHOWER'!#REF!</definedName>
    <definedName name="Industrial_number_of_apts" localSheetId="4">'MULTI-RES'!#REF!</definedName>
    <definedName name="Industrial_number_of_apts" localSheetId="0">'SINGLE SHOWER'!#REF!</definedName>
    <definedName name="Industrial_number_of_apts">#REF!</definedName>
    <definedName name="Industrial_qty_main_column_drains" localSheetId="2">'DUAL SHOWER'!#REF!</definedName>
    <definedName name="Industrial_qty_main_column_drains" localSheetId="4">'MULTI-RES'!#REF!</definedName>
    <definedName name="Industrial_qty_main_column_drains" localSheetId="0">'SINGLE SHOWER'!#REF!</definedName>
    <definedName name="Industrial_qty_main_column_drains">#REF!</definedName>
    <definedName name="inflation">'Drop Down Menus'!$A$71:$A$87</definedName>
    <definedName name="level1">#REF!</definedName>
    <definedName name="max_apts_per_column" localSheetId="2">'DUAL SHOWER'!#REF!</definedName>
    <definedName name="max_apts_per_column" localSheetId="4">'MULTI-RES'!#REF!</definedName>
    <definedName name="max_apts_per_column" localSheetId="0">'SINGLE SHOWER'!#REF!</definedName>
    <definedName name="max_apts_per_column">#REF!</definedName>
    <definedName name="maximum_" localSheetId="2">'DUAL SHOWER'!#REF!</definedName>
    <definedName name="maximum_" localSheetId="4">'MULTI-RES'!#REF!</definedName>
    <definedName name="maximum_" localSheetId="0">'SINGLE SHOWER'!#REF!</definedName>
    <definedName name="maximum_">#REF!</definedName>
    <definedName name="metric_flow_rate">'Drop Down Menus'!$H$4:$H$6</definedName>
    <definedName name="min_apts_per_column" localSheetId="2">'DUAL SHOWER'!#REF!</definedName>
    <definedName name="min_apts_per_column" localSheetId="4">'MULTI-RES'!#REF!</definedName>
    <definedName name="min_apts_per_column" localSheetId="0">'SINGLE SHOWER'!#REF!</definedName>
    <definedName name="min_apts_per_column">#REF!</definedName>
    <definedName name="Model">'Drop Down Menus'!$E$15:$E$75</definedName>
    <definedName name="Model_Selection">'Drop Down Menus'!$E$15:$E$75</definedName>
    <definedName name="number_of_apts" localSheetId="2">'DUAL SHOWER'!#REF!</definedName>
    <definedName name="number_of_apts" localSheetId="4">'MULTI-RES'!#REF!</definedName>
    <definedName name="number_of_apts" localSheetId="0">'SINGLE SHOWER'!#REF!</definedName>
    <definedName name="number_of_apts">#REF!</definedName>
    <definedName name="occupation_rate">#REF!</definedName>
    <definedName name="Picture">INDIRECT('MULTI-RES'!#REF!)</definedName>
    <definedName name="qty_apts">#REF!</definedName>
    <definedName name="qty_main_column_drains" localSheetId="2">'DUAL SHOWER'!#REF!</definedName>
    <definedName name="qty_main_column_drains" localSheetId="4">'MULTI-RES'!#REF!</definedName>
    <definedName name="qty_main_column_drains" localSheetId="0">'SINGLE SHOWER'!#REF!</definedName>
    <definedName name="qty_main_column_drains">#REF!</definedName>
    <definedName name="qty_showers">'Drop Down Menus'!$A$26:$A$40</definedName>
    <definedName name="scenario7">#REF!</definedName>
    <definedName name="scenario8">#REF!</definedName>
    <definedName name="selected_configuration">#REF!</definedName>
    <definedName name="selected_configurationa" localSheetId="0">'SINGLE SHOWER'!$C$28</definedName>
    <definedName name="selected_configurationb" localSheetId="2">'DUAL SHOWER'!$C$27</definedName>
    <definedName name="shower_frequency" localSheetId="2">'DUAL SHOWER'!$C$29</definedName>
    <definedName name="shower_frequency" localSheetId="0">'SINGLE SHOWER'!$C$30</definedName>
    <definedName name="shower_time">'Drop Down Menus'!$A$45:$A$58</definedName>
    <definedName name="shower_unit_ratio" localSheetId="1">'SCENARIO 1 2 3 DATA'!#REF!</definedName>
    <definedName name="shower_unit_ratio" localSheetId="3">'SCENARIO 4 5 6 DATA'!#REF!</definedName>
    <definedName name="shower_unit_ratio" localSheetId="5">'SCENARIO 7 8 DATA'!#REF!</definedName>
    <definedName name="shower_unit_ratio">#REF!</definedName>
    <definedName name="showers" localSheetId="1">'SCENARIO 1 2 3 DATA'!#REF!</definedName>
    <definedName name="showers" localSheetId="3">'SCENARIO 4 5 6 DATA'!#REF!</definedName>
    <definedName name="showers" localSheetId="5">'SCENARIO 7 8 DATA'!#REF!</definedName>
    <definedName name="showers">#REF!</definedName>
    <definedName name="showers_per_ecogfx">'Drop Down Menus'!$A$91:$A$98</definedName>
    <definedName name="table1">'Drop Down Menus'!$E$15:$E$75</definedName>
    <definedName name="table2">'Drop Down Menus'!$I$15:$I$31</definedName>
    <definedName name="tempunits">'Drop Down Menus'!$A$66:$A$67</definedName>
    <definedName name="time_per_unit" localSheetId="2">'DUAL SHOWER'!$C$28</definedName>
    <definedName name="time_per_unit" localSheetId="0">'SINGLE SHOWER'!$C$29</definedName>
    <definedName name="time_per_unit">#REF!</definedName>
    <definedName name="time_per_unita">'SINGLE SHOWER'!$C$29</definedName>
    <definedName name="type_menu">#REF!</definedName>
    <definedName name="type3">#REF!</definedName>
    <definedName name="type5">#REF!</definedName>
    <definedName name="type6">#REF!</definedName>
    <definedName name="type9">#REF!</definedName>
    <definedName name="typeA">#REF!</definedName>
    <definedName name="typeB">#REF!</definedName>
    <definedName name="typeC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27" l="1"/>
  <c r="B26" i="27"/>
  <c r="M30" i="12" l="1"/>
  <c r="M28" i="12"/>
  <c r="M26" i="12"/>
  <c r="M24" i="12"/>
  <c r="M22" i="12"/>
  <c r="L15" i="12"/>
  <c r="M20" i="12"/>
  <c r="M18" i="12"/>
  <c r="M16" i="12"/>
  <c r="B14" i="31" l="1"/>
  <c r="B15" i="31" s="1"/>
  <c r="B3" i="31"/>
  <c r="B9" i="31" s="1"/>
  <c r="B3" i="29"/>
  <c r="B4" i="29" s="1"/>
  <c r="D38" i="28"/>
  <c r="C38" i="28"/>
  <c r="B3" i="27"/>
  <c r="B4" i="27" s="1"/>
  <c r="C39" i="26"/>
  <c r="B28" i="27" s="1"/>
  <c r="B5" i="27"/>
  <c r="C30" i="27" s="1"/>
  <c r="B6" i="27"/>
  <c r="B37" i="27" s="1"/>
  <c r="C37" i="27" s="1"/>
  <c r="B7" i="27"/>
  <c r="B8" i="27"/>
  <c r="B13" i="27"/>
  <c r="B14" i="27" s="1"/>
  <c r="B4" i="31" l="1"/>
  <c r="B16" i="31"/>
  <c r="B17" i="31" s="1"/>
  <c r="B9" i="27"/>
  <c r="B9" i="29"/>
  <c r="B29" i="27"/>
  <c r="B19" i="27"/>
  <c r="B20" i="27" s="1"/>
  <c r="B30" i="27"/>
  <c r="B15" i="27"/>
  <c r="B16" i="27" s="1"/>
  <c r="B21" i="27" s="1"/>
  <c r="B31" i="27" l="1"/>
  <c r="B22" i="27"/>
  <c r="B33" i="27" l="1"/>
  <c r="B34" i="27" s="1"/>
  <c r="B36" i="27" l="1"/>
  <c r="B35" i="27" s="1"/>
  <c r="C42" i="26"/>
  <c r="C43" i="26" l="1"/>
  <c r="C44" i="26" l="1"/>
  <c r="C45" i="26"/>
  <c r="D39" i="26" l="1"/>
  <c r="C28" i="27" s="1"/>
  <c r="C29" i="27" s="1"/>
  <c r="C31" i="27" s="1"/>
  <c r="R75" i="12"/>
  <c r="R74" i="12"/>
  <c r="R73" i="12"/>
  <c r="R72" i="12"/>
  <c r="R71" i="12"/>
  <c r="R70" i="12"/>
  <c r="R69" i="12"/>
  <c r="R68" i="12"/>
  <c r="R67" i="12"/>
  <c r="R66" i="12"/>
  <c r="R65" i="12"/>
  <c r="R64" i="12"/>
  <c r="R63" i="12"/>
  <c r="R62" i="12"/>
  <c r="R61" i="12"/>
  <c r="R60" i="12"/>
  <c r="R59" i="12"/>
  <c r="R58" i="12"/>
  <c r="R57" i="12"/>
  <c r="R56" i="12"/>
  <c r="R55" i="12"/>
  <c r="R54" i="12"/>
  <c r="R53" i="12"/>
  <c r="R52" i="12"/>
  <c r="R51" i="12"/>
  <c r="R50" i="12"/>
  <c r="R49" i="12"/>
  <c r="R48" i="12"/>
  <c r="R47" i="12"/>
  <c r="R46" i="12"/>
  <c r="R45" i="12"/>
  <c r="R44" i="12"/>
  <c r="R43" i="12"/>
  <c r="R42" i="12"/>
  <c r="R41" i="12"/>
  <c r="R40" i="12"/>
  <c r="R39" i="12"/>
  <c r="R38" i="12"/>
  <c r="R37" i="12"/>
  <c r="R36" i="12"/>
  <c r="R35" i="12"/>
  <c r="R34" i="12"/>
  <c r="R33" i="12"/>
  <c r="R32" i="12"/>
  <c r="R31" i="12"/>
  <c r="R30" i="12"/>
  <c r="R29" i="12"/>
  <c r="R28" i="12"/>
  <c r="R27" i="12"/>
  <c r="R26" i="12"/>
  <c r="R25" i="12"/>
  <c r="R24" i="12"/>
  <c r="R23" i="12"/>
  <c r="R22" i="12"/>
  <c r="R21" i="12"/>
  <c r="R20" i="12"/>
  <c r="R19" i="12"/>
  <c r="R18" i="12"/>
  <c r="R17" i="12"/>
  <c r="R16" i="12"/>
  <c r="R15" i="12"/>
  <c r="D40" i="26" l="1"/>
  <c r="C33" i="27"/>
  <c r="B10" i="31"/>
  <c r="C65" i="30" s="1"/>
  <c r="D65" i="30" l="1"/>
  <c r="C34" i="27"/>
  <c r="D43" i="26" s="1"/>
  <c r="C36" i="27"/>
  <c r="D42" i="26"/>
  <c r="B11" i="31"/>
  <c r="L17" i="12"/>
  <c r="C35" i="27" l="1"/>
  <c r="D44" i="26" s="1"/>
  <c r="D45" i="26"/>
  <c r="L16" i="12"/>
  <c r="B12" i="31"/>
  <c r="C64" i="30" s="1"/>
  <c r="B72" i="30"/>
  <c r="L18" i="12" l="1"/>
  <c r="L19" i="12" l="1"/>
  <c r="L20" i="12" l="1"/>
  <c r="L21" i="12" l="1"/>
  <c r="L22" i="12" l="1"/>
  <c r="L23" i="12" l="1"/>
  <c r="L24" i="12" l="1"/>
  <c r="L25" i="12" l="1"/>
  <c r="L26" i="12" l="1"/>
  <c r="L27" i="12" l="1"/>
  <c r="L28" i="12" l="1"/>
  <c r="L29" i="12" l="1"/>
  <c r="L31" i="12" l="1"/>
  <c r="L30" i="12"/>
  <c r="B8" i="31" l="1"/>
  <c r="B7" i="31"/>
  <c r="B20" i="31" s="1"/>
  <c r="B21" i="31" s="1"/>
  <c r="B6" i="31"/>
  <c r="B6" i="29"/>
  <c r="B38" i="29" s="1"/>
  <c r="C38" i="29" s="1"/>
  <c r="B39" i="31" l="1"/>
  <c r="C39" i="31" s="1"/>
  <c r="B22" i="31"/>
  <c r="B23" i="31" s="1"/>
  <c r="B28" i="31"/>
  <c r="C28" i="31" s="1"/>
  <c r="B5" i="29"/>
  <c r="C31" i="29" s="1"/>
  <c r="B14" i="29"/>
  <c r="B31" i="31"/>
  <c r="C27" i="31"/>
  <c r="B27" i="31"/>
  <c r="C31" i="31"/>
  <c r="B60" i="30"/>
  <c r="B59" i="30"/>
  <c r="C27" i="29"/>
  <c r="B27" i="29"/>
  <c r="B8" i="29"/>
  <c r="B7" i="29"/>
  <c r="B20" i="29" l="1"/>
  <c r="B21" i="29" s="1"/>
  <c r="B16" i="29"/>
  <c r="B15" i="29"/>
  <c r="B31" i="29"/>
  <c r="B34" i="28"/>
  <c r="B33" i="28"/>
  <c r="B35" i="26"/>
  <c r="B34" i="26"/>
  <c r="B17" i="29" l="1"/>
  <c r="B22" i="29" s="1"/>
  <c r="B23" i="29" s="1"/>
  <c r="A73" i="12" l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27" i="12" l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C29" i="29" l="1"/>
  <c r="C30" i="29" s="1"/>
  <c r="C32" i="29" s="1"/>
  <c r="C29" i="31"/>
  <c r="C30" i="31" s="1"/>
  <c r="C32" i="31" s="1"/>
  <c r="C33" i="31" s="1"/>
  <c r="B29" i="29"/>
  <c r="B30" i="29" s="1"/>
  <c r="B32" i="29" s="1"/>
  <c r="B34" i="29" s="1"/>
  <c r="B29" i="31"/>
  <c r="B30" i="31" s="1"/>
  <c r="B32" i="31" l="1"/>
  <c r="B33" i="31" s="1"/>
  <c r="D66" i="30"/>
  <c r="C35" i="31"/>
  <c r="D68" i="30" s="1"/>
  <c r="B37" i="29"/>
  <c r="B36" i="29" s="1"/>
  <c r="B35" i="29"/>
  <c r="D39" i="28"/>
  <c r="C34" i="29"/>
  <c r="D41" i="28" s="1"/>
  <c r="C39" i="28"/>
  <c r="B35" i="31" l="1"/>
  <c r="C66" i="30"/>
  <c r="B38" i="31"/>
  <c r="B37" i="31" s="1"/>
  <c r="B36" i="31"/>
  <c r="C69" i="30" s="1"/>
  <c r="C38" i="31"/>
  <c r="C37" i="31" s="1"/>
  <c r="D70" i="30" s="1"/>
  <c r="C36" i="31"/>
  <c r="D69" i="30" s="1"/>
  <c r="C37" i="29"/>
  <c r="C36" i="29" s="1"/>
  <c r="D43" i="28" s="1"/>
  <c r="C35" i="29"/>
  <c r="D42" i="28" s="1"/>
  <c r="D71" i="30"/>
  <c r="C68" i="30"/>
  <c r="C41" i="28"/>
  <c r="C42" i="28"/>
  <c r="D44" i="28" l="1"/>
  <c r="C40" i="26"/>
  <c r="C44" i="28"/>
  <c r="C43" i="28"/>
  <c r="C70" i="30"/>
  <c r="C71" i="3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</author>
    <author>Marc</author>
    <author>mfontaine</author>
  </authors>
  <commentList>
    <comment ref="C28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Efficiency levels explained
If #1 configuration (equal flow) is selected, maximum heat recovery for the system is achieved (100% of potential)
If #2 configuration (hot water preheat) is selected, heat recovery of the system will be 79% maximum.  This is ofter the most cost effective way of piping a DWHR unit.
If #3 configuration (cold water preheat) is selected, heat recovery of the system will be 89% maximum.
</t>
        </r>
      </text>
    </comment>
    <comment ref="C29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How long is one shower in minutes.
Use between 12 and 15 minutes per shower if unknown.
</t>
        </r>
      </text>
    </comment>
    <comment ref="C30" authorId="0" shapeId="0" xr:uid="{00000000-0006-0000-0000-000003000000}">
      <text>
        <r>
          <rPr>
            <sz val="9"/>
            <color indexed="81"/>
            <rFont val="Tahoma"/>
            <family val="2"/>
          </rPr>
          <t xml:space="preserve">In a 24 hour period, how many times is the shower used?
</t>
        </r>
      </text>
    </comment>
    <comment ref="C31" authorId="0" shapeId="0" xr:uid="{00000000-0006-0000-0000-000004000000}">
      <text>
        <r>
          <rPr>
            <sz val="9"/>
            <color indexed="81"/>
            <rFont val="Tahoma"/>
            <family val="2"/>
          </rPr>
          <t>Standard flow is 9.5 LPM or 2.5 GPM</t>
        </r>
      </text>
    </comment>
    <comment ref="C32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Electric 96% 
Gas residential 61%
Gas commercial 80%
Gas High Eff. 95%
Use customer provided number if available.
</t>
        </r>
      </text>
    </comment>
    <comment ref="C34" authorId="1" shapeId="0" xr:uid="{00000000-0006-0000-0000-000006000000}">
      <text>
        <r>
          <rPr>
            <sz val="9"/>
            <color indexed="81"/>
            <rFont val="Tahoma"/>
            <family val="2"/>
          </rPr>
          <t>Use 38 C° (101 F°)</t>
        </r>
      </text>
    </comment>
    <comment ref="C35" authorId="1" shapeId="0" xr:uid="{00000000-0006-0000-0000-000007000000}">
      <text>
        <r>
          <rPr>
            <sz val="9"/>
            <color indexed="81"/>
            <rFont val="Tahoma"/>
            <family val="2"/>
          </rPr>
          <t>Use 10 C° (50 F°) as an average yearly temperature.  
This varies by region.</t>
        </r>
      </text>
    </comment>
    <comment ref="C38" authorId="2" shapeId="0" xr:uid="{00000000-0006-0000-0000-000008000000}">
      <text>
        <r>
          <rPr>
            <sz val="9"/>
            <color indexed="81"/>
            <rFont val="Tahoma"/>
            <family val="2"/>
          </rPr>
          <t xml:space="preserve">Model designation:
TDH (length)   B
Ex: 33.5'' length is model TDH3 </t>
        </r>
        <r>
          <rPr>
            <u/>
            <sz val="9"/>
            <color indexed="81"/>
            <rFont val="Tahoma"/>
            <family val="2"/>
          </rPr>
          <t>335</t>
        </r>
        <r>
          <rPr>
            <sz val="9"/>
            <color indexed="81"/>
            <rFont val="Tahoma"/>
            <family val="2"/>
          </rPr>
          <t xml:space="preserve"> B
Ex: 62.0'' length is model TDH3 </t>
        </r>
        <r>
          <rPr>
            <u/>
            <sz val="9"/>
            <color indexed="81"/>
            <rFont val="Tahoma"/>
            <family val="2"/>
          </rPr>
          <t>620</t>
        </r>
        <r>
          <rPr>
            <sz val="9"/>
            <color indexed="81"/>
            <rFont val="Tahoma"/>
            <family val="2"/>
          </rPr>
          <t xml:space="preserve"> B
</t>
        </r>
      </text>
    </comment>
    <comment ref="D38" authorId="2" shapeId="0" xr:uid="{00000000-0006-0000-0000-000009000000}">
      <text>
        <r>
          <rPr>
            <sz val="9"/>
            <color indexed="81"/>
            <rFont val="Tahoma"/>
            <family val="2"/>
          </rPr>
          <t xml:space="preserve">Model designation:
TDH (length)   B
Ex: 33.5'' length is model TDH3 </t>
        </r>
        <r>
          <rPr>
            <u/>
            <sz val="9"/>
            <color indexed="81"/>
            <rFont val="Tahoma"/>
            <family val="2"/>
          </rPr>
          <t>335</t>
        </r>
        <r>
          <rPr>
            <sz val="9"/>
            <color indexed="81"/>
            <rFont val="Tahoma"/>
            <family val="2"/>
          </rPr>
          <t xml:space="preserve"> B
Ex: 62.0'' length is model TDH3 </t>
        </r>
        <r>
          <rPr>
            <u/>
            <sz val="9"/>
            <color indexed="81"/>
            <rFont val="Tahoma"/>
            <family val="2"/>
          </rPr>
          <t>620</t>
        </r>
        <r>
          <rPr>
            <sz val="9"/>
            <color indexed="81"/>
            <rFont val="Tahoma"/>
            <family val="2"/>
          </rPr>
          <t xml:space="preserve"> B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mfontaine</author>
    <author>Daniel</author>
    <author>Marc</author>
  </authors>
  <commentList>
    <comment ref="C27" authorId="0" shapeId="0" xr:uid="{00000000-0006-0000-0200-000001000000}">
      <text>
        <r>
          <rPr>
            <sz val="9"/>
            <color indexed="81"/>
            <rFont val="Tahoma"/>
            <family val="2"/>
          </rPr>
          <t xml:space="preserve">Efficiency levels explained
If #4 configuration (hot water preheat) is selected, heat recovery of the system will be 79% maximum.
If #5 configuration (mix mode) is selected, optimum heat recovery for the system is achieved (96% of potential)
If #6 configuration (cold water preheat) is selected, heat recovery of the system will be 89% maximum.
</t>
        </r>
      </text>
    </comment>
    <comment ref="C28" authorId="1" shapeId="0" xr:uid="{00000000-0006-0000-0200-000002000000}">
      <text>
        <r>
          <rPr>
            <sz val="9"/>
            <color indexed="81"/>
            <rFont val="Tahoma"/>
            <family val="2"/>
          </rPr>
          <t xml:space="preserve">How long is one shower in minutes.
Use between 12 and 15 minutes per shower if unknown.
</t>
        </r>
      </text>
    </comment>
    <comment ref="C29" authorId="1" shapeId="0" xr:uid="{00000000-0006-0000-0200-000003000000}">
      <text>
        <r>
          <rPr>
            <sz val="9"/>
            <color indexed="81"/>
            <rFont val="Tahoma"/>
            <family val="2"/>
          </rPr>
          <t xml:space="preserve">In a 24 hour period, how many times is the shower used?
</t>
        </r>
      </text>
    </comment>
    <comment ref="C30" authorId="1" shapeId="0" xr:uid="{00000000-0006-0000-0200-000004000000}">
      <text>
        <r>
          <rPr>
            <sz val="9"/>
            <color indexed="81"/>
            <rFont val="Tahoma"/>
            <family val="2"/>
          </rPr>
          <t>Standard flow is 9.5 LPM or 2.5 GPM</t>
        </r>
      </text>
    </comment>
    <comment ref="C31" authorId="1" shapeId="0" xr:uid="{00000000-0006-0000-0200-000005000000}">
      <text>
        <r>
          <rPr>
            <sz val="9"/>
            <color indexed="81"/>
            <rFont val="Tahoma"/>
            <family val="2"/>
          </rPr>
          <t xml:space="preserve">Electric 96% 
Gas residential 61%
Gas commercial 80%
Gas High Eff. 95%
Use customer provided number if available.
</t>
        </r>
      </text>
    </comment>
    <comment ref="C33" authorId="2" shapeId="0" xr:uid="{00000000-0006-0000-0200-000006000000}">
      <text>
        <r>
          <rPr>
            <sz val="9"/>
            <color indexed="81"/>
            <rFont val="Tahoma"/>
            <family val="2"/>
          </rPr>
          <t>Use 38 C° (101 F°)</t>
        </r>
      </text>
    </comment>
    <comment ref="C34" authorId="2" shapeId="0" xr:uid="{00000000-0006-0000-0200-000007000000}">
      <text>
        <r>
          <rPr>
            <sz val="9"/>
            <color indexed="81"/>
            <rFont val="Tahoma"/>
            <family val="2"/>
          </rPr>
          <t>Use 10 C° (50 F°) as an average yearly temperature.  
This varies by region.</t>
        </r>
      </text>
    </comment>
    <comment ref="C37" authorId="0" shapeId="0" xr:uid="{00000000-0006-0000-0200-000008000000}">
      <text>
        <r>
          <rPr>
            <sz val="9"/>
            <color indexed="81"/>
            <rFont val="Tahoma"/>
            <family val="2"/>
          </rPr>
          <t xml:space="preserve">Model designation:
TDH (length)   B
Ex: 33.5'' length is model TDH3 </t>
        </r>
        <r>
          <rPr>
            <u/>
            <sz val="9"/>
            <color indexed="81"/>
            <rFont val="Tahoma"/>
            <family val="2"/>
          </rPr>
          <t>335</t>
        </r>
        <r>
          <rPr>
            <sz val="9"/>
            <color indexed="81"/>
            <rFont val="Tahoma"/>
            <family val="2"/>
          </rPr>
          <t xml:space="preserve"> B
Ex: 62.0'' length is model TDH3 </t>
        </r>
        <r>
          <rPr>
            <u/>
            <sz val="9"/>
            <color indexed="81"/>
            <rFont val="Tahoma"/>
            <family val="2"/>
          </rPr>
          <t>620</t>
        </r>
        <r>
          <rPr>
            <sz val="9"/>
            <color indexed="81"/>
            <rFont val="Tahoma"/>
            <family val="2"/>
          </rPr>
          <t xml:space="preserve"> B</t>
        </r>
      </text>
    </comment>
    <comment ref="D37" authorId="0" shapeId="0" xr:uid="{00000000-0006-0000-0200-000009000000}">
      <text>
        <r>
          <rPr>
            <sz val="9"/>
            <color indexed="81"/>
            <rFont val="Tahoma"/>
            <family val="2"/>
          </rPr>
          <t xml:space="preserve">Model designation:
TDH (length)   B
Ex: 33.5'' length is model TDH3 </t>
        </r>
        <r>
          <rPr>
            <u/>
            <sz val="9"/>
            <color indexed="81"/>
            <rFont val="Tahoma"/>
            <family val="2"/>
          </rPr>
          <t>335</t>
        </r>
        <r>
          <rPr>
            <sz val="9"/>
            <color indexed="81"/>
            <rFont val="Tahoma"/>
            <family val="2"/>
          </rPr>
          <t xml:space="preserve"> B
Ex: 62.0'' length is model TDH3 </t>
        </r>
        <r>
          <rPr>
            <u/>
            <sz val="9"/>
            <color indexed="81"/>
            <rFont val="Tahoma"/>
            <family val="2"/>
          </rPr>
          <t>620</t>
        </r>
        <r>
          <rPr>
            <sz val="9"/>
            <color indexed="81"/>
            <rFont val="Tahoma"/>
            <family val="2"/>
          </rPr>
          <t xml:space="preserve"> B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</author>
    <author>Marc</author>
    <author>mfontaine</author>
  </authors>
  <commentList>
    <comment ref="C52" authorId="0" shapeId="0" xr:uid="{00000000-0006-0000-0400-000001000000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 xml:space="preserve">Distributed water heating
</t>
        </r>
        <r>
          <rPr>
            <sz val="9"/>
            <color indexed="81"/>
            <rFont val="Tahoma"/>
            <family val="2"/>
          </rPr>
          <t xml:space="preserve">
Scenario #7 for distributed water heating and where a 3/4" feed line to the water heaters from the ThermoDrain is sufficient. A maximum of 2 dwellings per Thermodrain is allowed. Typically for duplex and triplex.
Scenario #8 for distributed water heating and where a 1" feed line to the water heaters from the ThermoDrain is required. A maximum of 3 dwellings per ThermoDrain pair is allowed. Select models 32'' to 40'' only. The installed length is doubled. Typically for duplex and triplex and quadplex.
</t>
        </r>
        <r>
          <rPr>
            <b/>
            <u/>
            <sz val="9"/>
            <color indexed="81"/>
            <rFont val="Tahoma"/>
            <family val="2"/>
          </rPr>
          <t>Centralized water heating</t>
        </r>
        <r>
          <rPr>
            <sz val="9"/>
            <color indexed="81"/>
            <rFont val="Tahoma"/>
            <family val="2"/>
          </rPr>
          <t xml:space="preserve">
Select #9 for centralized water heating where a 3/4" feed line to the water heaters from the ThermoDrain is sufficient. A maximum of 2 dwellings per Thermodrain is allowed. Typically for duplex and triplex.
Select #10 for centralized water heating and where a 1" feed line to the water heaters from the ThermoDrain is required. A maximum of 3 dwellings per ThermoDrain pair is allowed to share a single drain stack. Select models 32'' to 40'' only. The installed length is doubled. Typically for duplex and triplex and quadplex.
Select #11 for centralized water heating where a 1" feed line to the water heaters from the ThermoDrain is required and 2 drain stacks are present. A maximum of 2 dwellings per Thermodrain is allowed. Typically for quadplex and six-plex.
Select #12 over #11 for Higher efficiency for distributed water heating and where a 1" feed line to the water heaters from the ThermoDrain is required. A maximum of 3 dwellings per ThermoDrain pair is allowed. Select models 32'' to 40'' only. The installed length is doubled. Typically for duplex and triplex and quadplex.
Select #13 For centralized water heating and where a 1-1/4" feed line to the water heaters from the ThermoDrain is required and 2 drain stacks are present. A maximum of 3 dwellings per ThermoDrain
pair is allowed. Select models 32'' to 40'' only. The installed length is doubled. Typically for quadplex and six-plex and eight-plex
</t>
        </r>
      </text>
    </comment>
    <comment ref="C53" authorId="0" shapeId="0" xr:uid="{00000000-0006-0000-0400-000002000000}">
      <text>
        <r>
          <rPr>
            <sz val="9"/>
            <color indexed="81"/>
            <rFont val="Tahoma"/>
            <family val="2"/>
          </rPr>
          <t xml:space="preserve">On average per dwelling, how often is the individual shower being used.
</t>
        </r>
      </text>
    </comment>
    <comment ref="C54" authorId="0" shapeId="0" xr:uid="{00000000-0006-0000-0400-000003000000}">
      <text>
        <r>
          <rPr>
            <sz val="9"/>
            <color indexed="81"/>
            <rFont val="Tahoma"/>
            <family val="2"/>
          </rPr>
          <t xml:space="preserve">How long is one shower in minutes.
Use between 12 and 15 minutes per shower if unknown.
</t>
        </r>
      </text>
    </comment>
    <comment ref="C55" authorId="0" shapeId="0" xr:uid="{00000000-0006-0000-0400-000004000000}">
      <text>
        <r>
          <rPr>
            <sz val="9"/>
            <color indexed="81"/>
            <rFont val="Tahoma"/>
            <family val="2"/>
          </rPr>
          <t xml:space="preserve">On average per dwelling, how often is the individual shower being used.
</t>
        </r>
      </text>
    </comment>
    <comment ref="C56" authorId="0" shapeId="0" xr:uid="{00000000-0006-0000-0400-000005000000}">
      <text>
        <r>
          <rPr>
            <sz val="9"/>
            <color indexed="81"/>
            <rFont val="Tahoma"/>
            <family val="2"/>
          </rPr>
          <t>Standard flow is 9.5 LPM or 2.5 GPM</t>
        </r>
      </text>
    </comment>
    <comment ref="C57" authorId="0" shapeId="0" xr:uid="{00000000-0006-0000-0400-000006000000}">
      <text>
        <r>
          <rPr>
            <sz val="9"/>
            <color indexed="81"/>
            <rFont val="Tahoma"/>
            <family val="2"/>
          </rPr>
          <t xml:space="preserve">Electric 96% 
Gas residential 61%
Gas commercial 80%
Gas High Eff. 95%
Use customer provided number if available.
</t>
        </r>
      </text>
    </comment>
    <comment ref="C59" authorId="1" shapeId="0" xr:uid="{00000000-0006-0000-0400-000007000000}">
      <text>
        <r>
          <rPr>
            <sz val="9"/>
            <color indexed="81"/>
            <rFont val="Tahoma"/>
            <family val="2"/>
          </rPr>
          <t>Use 38 C° (101 F°)</t>
        </r>
      </text>
    </comment>
    <comment ref="C60" authorId="1" shapeId="0" xr:uid="{00000000-0006-0000-0400-000008000000}">
      <text>
        <r>
          <rPr>
            <sz val="9"/>
            <color indexed="81"/>
            <rFont val="Tahoma"/>
            <family val="2"/>
          </rPr>
          <t>Use 10 C° (50 F°) as an average yearly temperature.  
This varies by region.</t>
        </r>
      </text>
    </comment>
    <comment ref="C63" authorId="2" shapeId="0" xr:uid="{00000000-0006-0000-0400-000009000000}">
      <text>
        <r>
          <rPr>
            <b/>
            <sz val="9"/>
            <color indexed="81"/>
            <rFont val="Tahoma"/>
            <family val="2"/>
          </rPr>
          <t>Model designation:</t>
        </r>
        <r>
          <rPr>
            <sz val="9"/>
            <color indexed="81"/>
            <rFont val="Tahoma"/>
            <family val="2"/>
          </rPr>
          <t xml:space="preserve">
TDH3  (length)   B
Ex: 33.5'' length model is TDH3 </t>
        </r>
        <r>
          <rPr>
            <u/>
            <sz val="9"/>
            <color indexed="81"/>
            <rFont val="Tahoma"/>
            <family val="2"/>
          </rPr>
          <t>335</t>
        </r>
        <r>
          <rPr>
            <sz val="9"/>
            <color indexed="81"/>
            <rFont val="Tahoma"/>
            <family val="2"/>
          </rPr>
          <t xml:space="preserve"> B
     62.0'' length model is TDH3 </t>
        </r>
        <r>
          <rPr>
            <u/>
            <sz val="9"/>
            <color indexed="81"/>
            <rFont val="Tahoma"/>
            <family val="2"/>
          </rPr>
          <t>620</t>
        </r>
        <r>
          <rPr>
            <sz val="9"/>
            <color indexed="81"/>
            <rFont val="Tahoma"/>
            <family val="2"/>
          </rPr>
          <t xml:space="preserve"> B 
</t>
        </r>
      </text>
    </comment>
    <comment ref="D63" authorId="2" shapeId="0" xr:uid="{00000000-0006-0000-0400-00000A000000}">
      <text>
        <r>
          <rPr>
            <b/>
            <sz val="9"/>
            <color indexed="81"/>
            <rFont val="Tahoma"/>
            <family val="2"/>
          </rPr>
          <t>Model designation:</t>
        </r>
        <r>
          <rPr>
            <sz val="9"/>
            <color indexed="81"/>
            <rFont val="Tahoma"/>
            <family val="2"/>
          </rPr>
          <t xml:space="preserve">
TDH3  (length)   B
Ex: 33.5'' length model is TDH3 </t>
        </r>
        <r>
          <rPr>
            <u/>
            <sz val="9"/>
            <color indexed="81"/>
            <rFont val="Tahoma"/>
            <family val="2"/>
          </rPr>
          <t>335</t>
        </r>
        <r>
          <rPr>
            <sz val="9"/>
            <color indexed="81"/>
            <rFont val="Tahoma"/>
            <family val="2"/>
          </rPr>
          <t xml:space="preserve"> B
Ex: 62.0'' length model is TDH3 </t>
        </r>
        <r>
          <rPr>
            <u/>
            <sz val="9"/>
            <color indexed="81"/>
            <rFont val="Tahoma"/>
            <family val="2"/>
          </rPr>
          <t>620</t>
        </r>
        <r>
          <rPr>
            <sz val="9"/>
            <color indexed="81"/>
            <rFont val="Tahoma"/>
            <family val="2"/>
          </rPr>
          <t xml:space="preserve"> B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mfontaine</author>
  </authors>
  <commentList>
    <comment ref="L14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mfontaine:</t>
        </r>
        <r>
          <rPr>
            <sz val="9"/>
            <color indexed="81"/>
            <rFont val="Tahoma"/>
            <family val="2"/>
          </rPr>
          <t xml:space="preserve">
is equal to twice the unit lg</t>
        </r>
      </text>
    </comment>
  </commentList>
</comments>
</file>

<file path=xl/sharedStrings.xml><?xml version="1.0" encoding="utf-8"?>
<sst xmlns="http://schemas.openxmlformats.org/spreadsheetml/2006/main" count="528" uniqueCount="259">
  <si>
    <t>kW</t>
  </si>
  <si>
    <t>Customer operating parameters</t>
  </si>
  <si>
    <t>Occupation rate</t>
  </si>
  <si>
    <t>Calculations</t>
  </si>
  <si>
    <t>Energy recovered yearly</t>
  </si>
  <si>
    <t>kWh</t>
  </si>
  <si>
    <t xml:space="preserve">Model </t>
  </si>
  <si>
    <t>Scenario 1</t>
  </si>
  <si>
    <t>Scenario 2</t>
  </si>
  <si>
    <t>Gas (m3)</t>
  </si>
  <si>
    <t>Volume recovered yearly**</t>
  </si>
  <si>
    <t>***1 m3 = 0.396 Therm</t>
  </si>
  <si>
    <t>Therm</t>
  </si>
  <si>
    <t>Therms recovered yearly***</t>
  </si>
  <si>
    <t>GJ recovered yearly****</t>
  </si>
  <si>
    <t>**1 kWh =  0.0962m3</t>
  </si>
  <si>
    <t>****1kWh = .003GJ</t>
  </si>
  <si>
    <t>GJ</t>
  </si>
  <si>
    <t>Gas (GJ)</t>
  </si>
  <si>
    <t>Water heater efficiency (%)</t>
  </si>
  <si>
    <t>Flow rate per application (gallons/minute)</t>
  </si>
  <si>
    <t>Gas (Therm)</t>
  </si>
  <si>
    <t>drop down</t>
  </si>
  <si>
    <t>Operating time per shower (minutes)</t>
  </si>
  <si>
    <t xml:space="preserve"> gallons/minute</t>
  </si>
  <si>
    <t>Flow rate at showerhead (litres/minute)</t>
  </si>
  <si>
    <t>Temperature of drain water C°</t>
  </si>
  <si>
    <t>Temperature of cold water C°</t>
  </si>
  <si>
    <t>l/min</t>
  </si>
  <si>
    <t>g/min</t>
  </si>
  <si>
    <t>percent</t>
  </si>
  <si>
    <t>Select temperature units</t>
  </si>
  <si>
    <t>temperature units</t>
  </si>
  <si>
    <t>C°</t>
  </si>
  <si>
    <t>F°</t>
  </si>
  <si>
    <t>delta T C°</t>
  </si>
  <si>
    <t>Energy wasted in kW</t>
  </si>
  <si>
    <t>hours</t>
  </si>
  <si>
    <t>Total Energy kWh wasted in operation 1 year</t>
  </si>
  <si>
    <t>SCENARIO 1</t>
  </si>
  <si>
    <t>SCENARIO 2</t>
  </si>
  <si>
    <t>m3</t>
  </si>
  <si>
    <t>Model Selected</t>
  </si>
  <si>
    <t>hot water heater efficiency</t>
  </si>
  <si>
    <t>Frequency of shower/ day</t>
  </si>
  <si>
    <t>Total number of showers</t>
  </si>
  <si>
    <t>daily shower usage</t>
  </si>
  <si>
    <t>number of units per shower drop down menu</t>
  </si>
  <si>
    <t>annual usage of shower time</t>
  </si>
  <si>
    <t>Frequency of shower per day</t>
  </si>
  <si>
    <t>Flow rate at shower head</t>
  </si>
  <si>
    <t>Unit nominal efficiency</t>
  </si>
  <si>
    <t>Selected configuration efficiency</t>
  </si>
  <si>
    <t>Model selection</t>
  </si>
  <si>
    <t>Cold water preheat 89%</t>
  </si>
  <si>
    <t>Hot water preheat 79%</t>
  </si>
  <si>
    <t>Equal flow 100%</t>
  </si>
  <si>
    <t>values based on formula</t>
  </si>
  <si>
    <t>% efficiency based</t>
  </si>
  <si>
    <t>Water heater efficiency</t>
  </si>
  <si>
    <t>Electricity (kWh)</t>
  </si>
  <si>
    <t xml:space="preserve"> litres/minute</t>
  </si>
  <si>
    <t>inflation rate energy</t>
  </si>
  <si>
    <t>9.5 lpm (2.5 gpm)</t>
  </si>
  <si>
    <t>SELECTION imperial or Metric</t>
  </si>
  <si>
    <t>maximum Efficiency of ThermoDrain</t>
  </si>
  <si>
    <t>configuration factor for ThermoDrain</t>
  </si>
  <si>
    <t>calculated efficiency of ThermoDrain in configuration</t>
  </si>
  <si>
    <t xml:space="preserve">Recovered Energy using ThermoDrain </t>
  </si>
  <si>
    <t>Configuration of ThermoDrain system</t>
  </si>
  <si>
    <t>TDH3320B</t>
  </si>
  <si>
    <t>TDH3395B</t>
  </si>
  <si>
    <t>TDH3485B</t>
  </si>
  <si>
    <t>TDH3550B</t>
  </si>
  <si>
    <t>selected configuration equal flow or not</t>
  </si>
  <si>
    <t>7.6 lpm (2.0 gpm)</t>
  </si>
  <si>
    <t>5.7 lpm (1.5 gpm)</t>
  </si>
  <si>
    <t>metric_flow_rate</t>
  </si>
  <si>
    <t>energy</t>
  </si>
  <si>
    <t>flowunits</t>
  </si>
  <si>
    <t>configurationb</t>
  </si>
  <si>
    <t>configurationa</t>
  </si>
  <si>
    <t>configuration</t>
  </si>
  <si>
    <t>gangflow</t>
  </si>
  <si>
    <t>qty_showers</t>
  </si>
  <si>
    <t>shower_time</t>
  </si>
  <si>
    <t>flow rate conversion efficiency of ThermoDrain</t>
  </si>
  <si>
    <t>unit flow rate efficiency varation</t>
  </si>
  <si>
    <t>configurationc</t>
  </si>
  <si>
    <t>Frequency of shower per day (per dwelling)</t>
  </si>
  <si>
    <t>scenario selected</t>
  </si>
  <si>
    <t>Dwelling multiplier</t>
  </si>
  <si>
    <t>TDH3325B</t>
  </si>
  <si>
    <t>TDH3330B</t>
  </si>
  <si>
    <t>TDH3340B</t>
  </si>
  <si>
    <t>TDH3345B</t>
  </si>
  <si>
    <t>TDH3350B</t>
  </si>
  <si>
    <t>TDH3355B</t>
  </si>
  <si>
    <t>TDH3360B</t>
  </si>
  <si>
    <t>TDH3365B</t>
  </si>
  <si>
    <t>TDH3370B</t>
  </si>
  <si>
    <t>TDH3375B</t>
  </si>
  <si>
    <t>TDH3380B</t>
  </si>
  <si>
    <t>TDH3385B</t>
  </si>
  <si>
    <t>TDH3390B</t>
  </si>
  <si>
    <t>TDH3400B</t>
  </si>
  <si>
    <t>TDH3405B</t>
  </si>
  <si>
    <t>TDH3410B</t>
  </si>
  <si>
    <t>TDH3415B</t>
  </si>
  <si>
    <t>TDH3420B</t>
  </si>
  <si>
    <t>TDH3425B</t>
  </si>
  <si>
    <t>TDH3430B</t>
  </si>
  <si>
    <t>TDH3435B</t>
  </si>
  <si>
    <t>TDH3440B</t>
  </si>
  <si>
    <t>TDH3445B</t>
  </si>
  <si>
    <t>TDH3450B</t>
  </si>
  <si>
    <t>TDH3455B</t>
  </si>
  <si>
    <t>TDH3460B</t>
  </si>
  <si>
    <t>TDH3465B</t>
  </si>
  <si>
    <t>TDH3470B</t>
  </si>
  <si>
    <t>TDH3475B</t>
  </si>
  <si>
    <t>TDH3480B</t>
  </si>
  <si>
    <t>TDH3490B</t>
  </si>
  <si>
    <t>TDH3495B</t>
  </si>
  <si>
    <t>TDH3500B</t>
  </si>
  <si>
    <t>TDH3505B</t>
  </si>
  <si>
    <t>TDH3510B</t>
  </si>
  <si>
    <t>TDH3515B</t>
  </si>
  <si>
    <t>TDH3520B</t>
  </si>
  <si>
    <t>TDH3525B</t>
  </si>
  <si>
    <t>TDH3530B</t>
  </si>
  <si>
    <t>TDH3535B</t>
  </si>
  <si>
    <t>TDH3540B</t>
  </si>
  <si>
    <t>TDH3545B</t>
  </si>
  <si>
    <t>TDH3555B</t>
  </si>
  <si>
    <t>TDH3560B</t>
  </si>
  <si>
    <t>TDH3565B</t>
  </si>
  <si>
    <t>TDH3570B</t>
  </si>
  <si>
    <t>TDH3575B</t>
  </si>
  <si>
    <t>TDH3580B</t>
  </si>
  <si>
    <t>TDH3585B</t>
  </si>
  <si>
    <t>TDH3590B</t>
  </si>
  <si>
    <t>TDH3595B</t>
  </si>
  <si>
    <t>TDH3600B</t>
  </si>
  <si>
    <t>TDH3605B</t>
  </si>
  <si>
    <t>TDH3610B</t>
  </si>
  <si>
    <t>TDH3615B</t>
  </si>
  <si>
    <t>1 Equal flow 100%</t>
  </si>
  <si>
    <t>2 Hot water preheat 79%</t>
  </si>
  <si>
    <t>3 Cold water preheat 89%</t>
  </si>
  <si>
    <t>4 Mixed preheat mode 96%</t>
  </si>
  <si>
    <t>5 Hot water preheat 79%</t>
  </si>
  <si>
    <t>6 Cold water preheat 89%</t>
  </si>
  <si>
    <t xml:space="preserve">selected configuration </t>
  </si>
  <si>
    <t>Select multi residential configuration</t>
  </si>
  <si>
    <t>*TDH3335B*</t>
  </si>
  <si>
    <t>*TDH3620B*</t>
  </si>
  <si>
    <t>unit flow rate efficiency varation (%)</t>
  </si>
  <si>
    <t>Dual Series Units, all models</t>
  </si>
  <si>
    <t>Lg each</t>
  </si>
  <si>
    <t>Equivalent lg</t>
  </si>
  <si>
    <t>Calculated % eff</t>
  </si>
  <si>
    <t>7 Distributed hot water 3/4" line</t>
  </si>
  <si>
    <t>8 Distributed hot water 1" line</t>
  </si>
  <si>
    <t>10 Centralized hot water 1" line</t>
  </si>
  <si>
    <t>9 Centralized hot water 3/4" line</t>
  </si>
  <si>
    <t>11 Centralized hot water 1" line</t>
  </si>
  <si>
    <t>4 Hot water preheat 79%</t>
  </si>
  <si>
    <t>5 Mixed preheat mode 96%</t>
  </si>
  <si>
    <t>Total number of dwellings going through DWHR units</t>
  </si>
  <si>
    <t>table to use</t>
  </si>
  <si>
    <t>table1</t>
  </si>
  <si>
    <t>table2</t>
  </si>
  <si>
    <t>qty of units per stack</t>
  </si>
  <si>
    <t>Number of units required per stack</t>
  </si>
  <si>
    <t xml:space="preserve">Model selection </t>
  </si>
  <si>
    <t xml:space="preserve">Unit or combined units nominal efficiency </t>
  </si>
  <si>
    <t>Gas volume recovered yearly**</t>
  </si>
  <si>
    <t>#7</t>
  </si>
  <si>
    <t>#8</t>
  </si>
  <si>
    <t>#10</t>
  </si>
  <si>
    <t>#11</t>
  </si>
  <si>
    <t>#12</t>
  </si>
  <si>
    <t>#13</t>
  </si>
  <si>
    <t>DWH heater location</t>
  </si>
  <si>
    <t>Per dwelling</t>
  </si>
  <si>
    <t>Centralized</t>
  </si>
  <si>
    <t>Number of drain stacks</t>
  </si>
  <si>
    <t>3/4''</t>
  </si>
  <si>
    <t>1''</t>
  </si>
  <si>
    <t>1-1/4''</t>
  </si>
  <si>
    <t>SCENARIO</t>
  </si>
  <si>
    <t>*Refer to building and local codes</t>
  </si>
  <si>
    <t>12 Centralized hot water 1" line</t>
  </si>
  <si>
    <t>13 Centralized hot water 1-1/4" line</t>
  </si>
  <si>
    <t>Adjustment parallel stacks</t>
  </si>
  <si>
    <t>Max dwellings per stack</t>
  </si>
  <si>
    <t>DHW Supply line size*</t>
  </si>
  <si>
    <t>*TDH3335B* Model eff. 42.1%</t>
  </si>
  <si>
    <t>TDH3400B Model eff. 46.4%</t>
  </si>
  <si>
    <t>*TDH3620B* Model eff. 57.2%</t>
  </si>
  <si>
    <t>TDH3320B Model eff. 41%</t>
  </si>
  <si>
    <t>TDH3325B Model eff. 41.4%</t>
  </si>
  <si>
    <t>TDH3330B Model eff. 41.8%</t>
  </si>
  <si>
    <t>TDH3340B Model eff. 42.5%</t>
  </si>
  <si>
    <t>TDH3345B Model eff. 42.8%</t>
  </si>
  <si>
    <t>TDH3350B Model eff. 43.2%</t>
  </si>
  <si>
    <t>TDH3355B Model eff. 43.5%</t>
  </si>
  <si>
    <t>TDH3360B Model eff. 43.8%</t>
  </si>
  <si>
    <t>TDH3365B Model eff. 44.2%</t>
  </si>
  <si>
    <t>TDH3370B Model eff. 44.5%</t>
  </si>
  <si>
    <t>TDH3375B Model eff. 44.8%</t>
  </si>
  <si>
    <t>TDH3380B Model eff. 45.2%</t>
  </si>
  <si>
    <t>TDH3385B Model eff. 45.5%</t>
  </si>
  <si>
    <t>TDH3390B Model eff. 45.8%</t>
  </si>
  <si>
    <t>TDH3395B Model eff. 46.1%</t>
  </si>
  <si>
    <t>TDH3405B Model eff. 46.8%</t>
  </si>
  <si>
    <t>TDH3410B Model eff. 47.1%</t>
  </si>
  <si>
    <t>TDH3415B Model eff. 47.4%</t>
  </si>
  <si>
    <t>TDH3420B Model eff. 47.7%</t>
  </si>
  <si>
    <t>TDH3425B Model eff. 48%</t>
  </si>
  <si>
    <t>TDH3430B Model eff. 48.3%</t>
  </si>
  <si>
    <t>TDH3435B Model eff. 48.6%</t>
  </si>
  <si>
    <t>TDH3440B Model eff. 48.8%</t>
  </si>
  <si>
    <t>TDH3445B Model eff. 49.1%</t>
  </si>
  <si>
    <t>TDH3450B Model eff. 49.4%</t>
  </si>
  <si>
    <t>TDH3455B Model eff. 49.7%</t>
  </si>
  <si>
    <t>TDH3460B Model eff. 50%</t>
  </si>
  <si>
    <t>TDH3465B Model eff. 50.2%</t>
  </si>
  <si>
    <t>TDH3470B Model eff. 50.5%</t>
  </si>
  <si>
    <t>TDH3475B Model eff. 50.8%</t>
  </si>
  <si>
    <t>TDH3480B Model eff. 51%</t>
  </si>
  <si>
    <t>TDH3485B Model eff. 51.3%</t>
  </si>
  <si>
    <t>TDH3490B Model eff. 51.6%</t>
  </si>
  <si>
    <t>TDH3495B Model eff. 51.8%</t>
  </si>
  <si>
    <t>TDH3500B Model eff. 52.1%</t>
  </si>
  <si>
    <t>TDH3505B Model eff. 52.3%</t>
  </si>
  <si>
    <t>TDH3510B Model eff. 52.6%</t>
  </si>
  <si>
    <t>TDH3515B Model eff. 52.8%</t>
  </si>
  <si>
    <t>TDH3520B Model eff. 53%</t>
  </si>
  <si>
    <t>TDH3525B Model eff. 53.3%</t>
  </si>
  <si>
    <t>TDH3530B Model eff. 53.5%</t>
  </si>
  <si>
    <t>TDH3535B Model eff. 53.7%</t>
  </si>
  <si>
    <t>TDH3540B Model eff. 54%</t>
  </si>
  <si>
    <t>TDH3545B Model eff. 54.2%</t>
  </si>
  <si>
    <t>TDH3550B Model eff. 54.4%</t>
  </si>
  <si>
    <t>TDH3555B Model eff. 54.6%</t>
  </si>
  <si>
    <t>TDH3560B Model eff. 54.8%</t>
  </si>
  <si>
    <t>TDH3565B Model eff. 55.1%</t>
  </si>
  <si>
    <t>TDH3570B Model eff. 55.3%</t>
  </si>
  <si>
    <t>TDH3575B Model eff. 55.5%</t>
  </si>
  <si>
    <t>TDH3580B Model eff. 55.7%</t>
  </si>
  <si>
    <t>TDH3585B Model eff. 55.9%</t>
  </si>
  <si>
    <t>TDH3590B Model eff. 56.1%</t>
  </si>
  <si>
    <t>TDH3595B Model eff. 56.3%</t>
  </si>
  <si>
    <t>TDH3600B Model eff. 56.4%</t>
  </si>
  <si>
    <t>TDH3605B Model eff. 56.6%</t>
  </si>
  <si>
    <t>TDH3610B Model eff. 56.8%</t>
  </si>
  <si>
    <t>TDH3615B Model eff. 57%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</si>
</sst>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0.0%"/>
    <numFmt numFmtId="166" formatCode="0.000"/>
    <numFmt numFmtId="167" formatCode="0.000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Frutiger Linotype"/>
      <family val="2"/>
    </font>
    <font>
      <sz val="8"/>
      <color theme="1"/>
      <name val="Frutiger Linotype"/>
      <family val="2"/>
    </font>
    <font>
      <sz val="9"/>
      <color indexed="81"/>
      <name val="Tahoma"/>
      <family val="2"/>
    </font>
    <font>
      <b/>
      <i/>
      <sz val="8"/>
      <color theme="1"/>
      <name val="Frutiger Linotype"/>
      <family val="2"/>
    </font>
    <font>
      <b/>
      <sz val="8"/>
      <color theme="1"/>
      <name val="Frutiger Linotype"/>
    </font>
    <font>
      <sz val="8"/>
      <color theme="1"/>
      <name val="Frutiger Linotype"/>
    </font>
    <font>
      <sz val="9"/>
      <color theme="1"/>
      <name val="Arial"/>
      <family val="2"/>
    </font>
    <font>
      <sz val="9"/>
      <color theme="6" tint="-0.499984740745262"/>
      <name val="Arial"/>
      <family val="2"/>
    </font>
    <font>
      <u/>
      <sz val="9"/>
      <color theme="1"/>
      <name val="Arial"/>
      <family val="2"/>
    </font>
    <font>
      <b/>
      <sz val="9"/>
      <color theme="6" tint="-0.499984740745262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u/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9"/>
      <color theme="0"/>
      <name val="Arial"/>
      <family val="2"/>
    </font>
    <font>
      <sz val="9"/>
      <color theme="0" tint="-0.34998626667073579"/>
      <name val="Arial"/>
      <family val="2"/>
    </font>
    <font>
      <b/>
      <sz val="9"/>
      <color theme="1" tint="0.249977111117893"/>
      <name val="Arial"/>
      <family val="2"/>
    </font>
    <font>
      <sz val="11"/>
      <color theme="1" tint="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4ECBA"/>
        <bgColor indexed="64"/>
      </patternFill>
    </fill>
    <fill>
      <patternFill patternType="solid">
        <fgColor rgb="FFE7F4D8"/>
        <bgColor indexed="64"/>
      </patternFill>
    </fill>
    <fill>
      <gradientFill type="path">
        <stop position="0">
          <color theme="0"/>
        </stop>
        <stop position="1">
          <color rgb="FFD4ECBA"/>
        </stop>
      </gradient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ck">
        <color rgb="FF92D050"/>
      </left>
      <right/>
      <top/>
      <bottom/>
      <diagonal/>
    </border>
    <border>
      <left/>
      <right/>
      <top/>
      <bottom style="thick">
        <color rgb="FF92D050"/>
      </bottom>
      <diagonal/>
    </border>
    <border>
      <left style="thin">
        <color rgb="FF92D050"/>
      </left>
      <right style="thick">
        <color rgb="FF92D050"/>
      </right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ck">
        <color rgb="FF92D050"/>
      </left>
      <right style="thick">
        <color rgb="FF92D050"/>
      </right>
      <top/>
      <bottom/>
      <diagonal/>
    </border>
    <border>
      <left/>
      <right style="thick">
        <color rgb="FF92D050"/>
      </right>
      <top style="thick">
        <color rgb="FF92D050"/>
      </top>
      <bottom style="thick">
        <color rgb="FF92D050"/>
      </bottom>
      <diagonal/>
    </border>
    <border>
      <left/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ck">
        <color rgb="FF92D050"/>
      </right>
      <top/>
      <bottom style="thin">
        <color rgb="FF92D050"/>
      </bottom>
      <diagonal/>
    </border>
    <border>
      <left/>
      <right/>
      <top style="thick">
        <color rgb="FF92D050"/>
      </top>
      <bottom style="thick">
        <color rgb="FF92D050"/>
      </bottom>
      <diagonal/>
    </border>
    <border>
      <left style="thick">
        <color rgb="FF92D050"/>
      </left>
      <right/>
      <top style="thick">
        <color rgb="FF92D050"/>
      </top>
      <bottom/>
      <diagonal/>
    </border>
    <border>
      <left/>
      <right style="thin">
        <color rgb="FF92D050"/>
      </right>
      <top style="thin">
        <color rgb="FF92D050"/>
      </top>
      <bottom style="thick">
        <color rgb="FF92D050"/>
      </bottom>
      <diagonal/>
    </border>
    <border>
      <left style="thick">
        <color rgb="FF92D050"/>
      </left>
      <right style="thick">
        <color rgb="FF92D050"/>
      </right>
      <top/>
      <bottom style="thick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ck">
        <color rgb="FF92D050"/>
      </bottom>
      <diagonal/>
    </border>
    <border>
      <left style="thin">
        <color rgb="FF92D050"/>
      </left>
      <right style="thick">
        <color rgb="FF92D050"/>
      </right>
      <top style="thin">
        <color rgb="FF92D050"/>
      </top>
      <bottom style="thick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ck">
        <color rgb="FF92D050"/>
      </right>
      <top style="thick">
        <color rgb="FF92D050"/>
      </top>
      <bottom style="thin">
        <color rgb="FF92D050"/>
      </bottom>
      <diagonal/>
    </border>
    <border>
      <left style="thick">
        <color rgb="FF92D050"/>
      </left>
      <right style="thin">
        <color rgb="FF92D050"/>
      </right>
      <top style="thin">
        <color rgb="FF92D050"/>
      </top>
      <bottom style="thick">
        <color rgb="FF92D050"/>
      </bottom>
      <diagonal/>
    </border>
    <border>
      <left/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ck">
        <color rgb="FF92D050"/>
      </left>
      <right style="thin">
        <color rgb="FF92D050"/>
      </right>
      <top style="thick">
        <color rgb="FF92D050"/>
      </top>
      <bottom style="thin">
        <color rgb="FF92D050"/>
      </bottom>
      <diagonal/>
    </border>
    <border>
      <left style="thick">
        <color rgb="FF92D050"/>
      </left>
      <right/>
      <top/>
      <bottom style="thick">
        <color rgb="FF92D050"/>
      </bottom>
      <diagonal/>
    </border>
    <border>
      <left/>
      <right/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/>
      <right style="thin">
        <color rgb="FFD4ECBA"/>
      </right>
      <top/>
      <bottom/>
      <diagonal/>
    </border>
    <border>
      <left/>
      <right style="thick">
        <color rgb="FF92D050"/>
      </right>
      <top/>
      <bottom style="thick">
        <color rgb="FF92D050"/>
      </bottom>
      <diagonal/>
    </border>
    <border>
      <left style="medium">
        <color rgb="FFD4ECBA"/>
      </left>
      <right style="thick">
        <color rgb="FF92D050"/>
      </right>
      <top/>
      <bottom/>
      <diagonal/>
    </border>
    <border>
      <left style="thick">
        <color rgb="FF92D050"/>
      </left>
      <right/>
      <top style="thick">
        <color rgb="FF92D050"/>
      </top>
      <bottom style="thick">
        <color rgb="FF92D050"/>
      </bottom>
      <diagonal/>
    </border>
    <border>
      <left style="medium">
        <color rgb="FFD4ECBA"/>
      </left>
      <right style="thick">
        <color rgb="FF92D050"/>
      </right>
      <top/>
      <bottom style="thick">
        <color rgb="FF92D050"/>
      </bottom>
      <diagonal/>
    </border>
    <border>
      <left style="thick">
        <color rgb="FF92D050"/>
      </left>
      <right style="thick">
        <color rgb="FF92D050"/>
      </right>
      <top style="thick">
        <color rgb="FF92D050"/>
      </top>
      <bottom/>
      <diagonal/>
    </border>
    <border>
      <left/>
      <right style="thick">
        <color rgb="FF92D050"/>
      </right>
      <top/>
      <bottom/>
      <diagonal/>
    </border>
    <border>
      <left style="medium">
        <color rgb="FF92D050"/>
      </left>
      <right/>
      <top style="medium">
        <color rgb="FF92D050"/>
      </top>
      <bottom/>
      <diagonal/>
    </border>
    <border>
      <left style="thin">
        <color rgb="FFD4ECBA"/>
      </left>
      <right/>
      <top/>
      <bottom/>
      <diagonal/>
    </border>
    <border>
      <left/>
      <right/>
      <top style="medium">
        <color rgb="FF92D050"/>
      </top>
      <bottom/>
      <diagonal/>
    </border>
    <border>
      <left/>
      <right style="medium">
        <color rgb="FF92D050"/>
      </right>
      <top style="medium">
        <color rgb="FF92D050"/>
      </top>
      <bottom/>
      <diagonal/>
    </border>
    <border>
      <left style="thick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 style="thick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8" fillId="0" borderId="0" xfId="0" applyFont="1" applyProtection="1">
      <protection locked="0"/>
    </xf>
    <xf numFmtId="9" fontId="8" fillId="0" borderId="0" xfId="1" applyFont="1" applyFill="1" applyBorder="1" applyProtection="1">
      <protection locked="0"/>
    </xf>
    <xf numFmtId="9" fontId="8" fillId="0" borderId="0" xfId="1" applyFont="1" applyProtection="1">
      <protection locked="0"/>
    </xf>
    <xf numFmtId="49" fontId="8" fillId="0" borderId="0" xfId="0" applyNumberFormat="1" applyFont="1" applyProtection="1">
      <protection locked="0"/>
    </xf>
    <xf numFmtId="0" fontId="8" fillId="0" borderId="0" xfId="0" applyFont="1"/>
    <xf numFmtId="0" fontId="9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25" xfId="0" applyFont="1" applyBorder="1" applyProtection="1">
      <protection locked="0"/>
    </xf>
    <xf numFmtId="0" fontId="8" fillId="0" borderId="0" xfId="0" applyFont="1" applyAlignment="1">
      <alignment horizontal="center"/>
    </xf>
    <xf numFmtId="0" fontId="10" fillId="2" borderId="32" xfId="0" applyFont="1" applyFill="1" applyBorder="1" applyProtection="1">
      <protection locked="0"/>
    </xf>
    <xf numFmtId="0" fontId="11" fillId="2" borderId="34" xfId="0" applyFont="1" applyFill="1" applyBorder="1"/>
    <xf numFmtId="0" fontId="8" fillId="2" borderId="35" xfId="0" applyFont="1" applyFill="1" applyBorder="1" applyAlignment="1" applyProtection="1">
      <alignment horizontal="center"/>
      <protection locked="0"/>
    </xf>
    <xf numFmtId="0" fontId="8" fillId="2" borderId="30" xfId="0" quotePrefix="1" applyFont="1" applyFill="1" applyBorder="1" applyProtection="1">
      <protection locked="0"/>
    </xf>
    <xf numFmtId="0" fontId="9" fillId="3" borderId="21" xfId="0" applyFont="1" applyFill="1" applyBorder="1"/>
    <xf numFmtId="0" fontId="8" fillId="2" borderId="6" xfId="0" quotePrefix="1" applyFont="1" applyFill="1" applyBorder="1" applyProtection="1">
      <protection locked="0"/>
    </xf>
    <xf numFmtId="0" fontId="9" fillId="3" borderId="36" xfId="0" applyFont="1" applyFill="1" applyBorder="1"/>
    <xf numFmtId="0" fontId="8" fillId="2" borderId="6" xfId="0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0" fontId="9" fillId="3" borderId="18" xfId="0" applyFont="1" applyFill="1" applyBorder="1"/>
    <xf numFmtId="0" fontId="8" fillId="0" borderId="3" xfId="0" applyFont="1" applyBorder="1" applyProtection="1">
      <protection locked="0"/>
    </xf>
    <xf numFmtId="0" fontId="8" fillId="0" borderId="3" xfId="0" applyFont="1" applyBorder="1"/>
    <xf numFmtId="0" fontId="8" fillId="0" borderId="3" xfId="0" applyFont="1" applyBorder="1" applyAlignment="1" applyProtection="1">
      <alignment horizontal="center"/>
      <protection locked="0"/>
    </xf>
    <xf numFmtId="0" fontId="8" fillId="2" borderId="28" xfId="0" applyFont="1" applyFill="1" applyBorder="1" applyProtection="1">
      <protection locked="0"/>
    </xf>
    <xf numFmtId="0" fontId="11" fillId="2" borderId="10" xfId="0" applyFont="1" applyFill="1" applyBorder="1"/>
    <xf numFmtId="0" fontId="11" fillId="2" borderId="10" xfId="0" applyFont="1" applyFill="1" applyBorder="1" applyAlignment="1" applyProtection="1">
      <alignment horizontal="center"/>
      <protection locked="0"/>
    </xf>
    <xf numFmtId="0" fontId="11" fillId="2" borderId="7" xfId="0" applyFont="1" applyFill="1" applyBorder="1" applyAlignment="1" applyProtection="1">
      <alignment horizontal="center"/>
      <protection locked="0"/>
    </xf>
    <xf numFmtId="0" fontId="9" fillId="3" borderId="8" xfId="0" applyFont="1" applyFill="1" applyBorder="1"/>
    <xf numFmtId="0" fontId="8" fillId="2" borderId="27" xfId="0" applyFont="1" applyFill="1" applyBorder="1" applyProtection="1">
      <protection locked="0"/>
    </xf>
    <xf numFmtId="0" fontId="9" fillId="3" borderId="5" xfId="0" applyFont="1" applyFill="1" applyBorder="1"/>
    <xf numFmtId="165" fontId="9" fillId="4" borderId="16" xfId="1" applyNumberFormat="1" applyFont="1" applyFill="1" applyBorder="1" applyAlignment="1" applyProtection="1">
      <alignment horizontal="center"/>
      <protection hidden="1"/>
    </xf>
    <xf numFmtId="165" fontId="9" fillId="4" borderId="9" xfId="1" applyNumberFormat="1" applyFont="1" applyFill="1" applyBorder="1" applyAlignment="1" applyProtection="1">
      <alignment horizontal="center"/>
      <protection hidden="1"/>
    </xf>
    <xf numFmtId="0" fontId="8" fillId="2" borderId="29" xfId="0" applyFont="1" applyFill="1" applyBorder="1" applyProtection="1">
      <protection locked="0"/>
    </xf>
    <xf numFmtId="0" fontId="9" fillId="3" borderId="12" xfId="0" applyFont="1" applyFill="1" applyBorder="1"/>
    <xf numFmtId="0" fontId="11" fillId="2" borderId="3" xfId="0" applyFont="1" applyFill="1" applyBorder="1" applyAlignment="1">
      <alignment horizontal="center"/>
    </xf>
    <xf numFmtId="0" fontId="11" fillId="2" borderId="26" xfId="0" applyFont="1" applyFill="1" applyBorder="1" applyAlignment="1">
      <alignment horizontal="center"/>
    </xf>
    <xf numFmtId="1" fontId="9" fillId="4" borderId="1" xfId="0" applyNumberFormat="1" applyFont="1" applyFill="1" applyBorder="1" applyAlignment="1">
      <alignment horizontal="center"/>
    </xf>
    <xf numFmtId="1" fontId="9" fillId="4" borderId="4" xfId="0" applyNumberFormat="1" applyFont="1" applyFill="1" applyBorder="1" applyAlignment="1">
      <alignment horizontal="center"/>
    </xf>
    <xf numFmtId="1" fontId="9" fillId="4" borderId="14" xfId="0" applyNumberFormat="1" applyFont="1" applyFill="1" applyBorder="1" applyAlignment="1">
      <alignment horizontal="center"/>
    </xf>
    <xf numFmtId="1" fontId="9" fillId="4" borderId="15" xfId="0" applyNumberFormat="1" applyFont="1" applyFill="1" applyBorder="1" applyAlignment="1">
      <alignment horizontal="center"/>
    </xf>
    <xf numFmtId="0" fontId="8" fillId="0" borderId="10" xfId="0" applyFont="1" applyBorder="1" applyProtection="1">
      <protection locked="0"/>
    </xf>
    <xf numFmtId="0" fontId="8" fillId="0" borderId="10" xfId="0" applyFont="1" applyBorder="1"/>
    <xf numFmtId="0" fontId="8" fillId="0" borderId="3" xfId="0" applyFont="1" applyBorder="1" applyAlignment="1">
      <alignment horizontal="center"/>
    </xf>
    <xf numFmtId="0" fontId="8" fillId="0" borderId="11" xfId="0" applyFont="1" applyBorder="1" applyProtection="1">
      <protection locked="0"/>
    </xf>
    <xf numFmtId="0" fontId="8" fillId="3" borderId="23" xfId="0" applyFont="1" applyFill="1" applyBorder="1"/>
    <xf numFmtId="0" fontId="8" fillId="0" borderId="23" xfId="0" applyFont="1" applyBorder="1" applyAlignment="1">
      <alignment horizontal="center"/>
    </xf>
    <xf numFmtId="0" fontId="8" fillId="0" borderId="24" xfId="0" applyFont="1" applyBorder="1"/>
    <xf numFmtId="0" fontId="12" fillId="0" borderId="0" xfId="0" applyFont="1" applyProtection="1">
      <protection locked="0"/>
    </xf>
    <xf numFmtId="0" fontId="8" fillId="0" borderId="2" xfId="0" applyFont="1" applyBorder="1" applyProtection="1">
      <protection locked="0"/>
    </xf>
    <xf numFmtId="0" fontId="8" fillId="3" borderId="0" xfId="0" applyFont="1" applyFill="1"/>
    <xf numFmtId="0" fontId="8" fillId="0" borderId="31" xfId="0" applyFont="1" applyBorder="1"/>
    <xf numFmtId="0" fontId="8" fillId="0" borderId="22" xfId="0" applyFont="1" applyBorder="1" applyProtection="1">
      <protection locked="0"/>
    </xf>
    <xf numFmtId="0" fontId="8" fillId="0" borderId="26" xfId="0" applyFont="1" applyBorder="1" applyProtection="1">
      <protection locked="0"/>
    </xf>
    <xf numFmtId="0" fontId="13" fillId="0" borderId="0" xfId="0" applyFont="1" applyProtection="1">
      <protection locked="0"/>
    </xf>
    <xf numFmtId="0" fontId="8" fillId="0" borderId="33" xfId="0" applyFont="1" applyBorder="1" applyProtection="1">
      <protection locked="0"/>
    </xf>
    <xf numFmtId="0" fontId="9" fillId="3" borderId="19" xfId="0" applyFont="1" applyFill="1" applyBorder="1"/>
    <xf numFmtId="0" fontId="11" fillId="2" borderId="10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1" fontId="9" fillId="4" borderId="16" xfId="0" applyNumberFormat="1" applyFont="1" applyFill="1" applyBorder="1" applyAlignment="1">
      <alignment horizontal="center"/>
    </xf>
    <xf numFmtId="165" fontId="9" fillId="4" borderId="4" xfId="1" applyNumberFormat="1" applyFont="1" applyFill="1" applyBorder="1" applyAlignment="1" applyProtection="1">
      <alignment horizontal="center"/>
      <protection hidden="1"/>
    </xf>
    <xf numFmtId="1" fontId="9" fillId="4" borderId="17" xfId="0" applyNumberFormat="1" applyFont="1" applyFill="1" applyBorder="1" applyAlignment="1">
      <alignment horizontal="center"/>
    </xf>
    <xf numFmtId="167" fontId="9" fillId="4" borderId="9" xfId="0" applyNumberFormat="1" applyFont="1" applyFill="1" applyBorder="1" applyAlignment="1">
      <alignment horizontal="center"/>
    </xf>
    <xf numFmtId="43" fontId="9" fillId="4" borderId="1" xfId="2" applyFont="1" applyFill="1" applyBorder="1" applyAlignment="1" applyProtection="1">
      <alignment horizontal="center"/>
    </xf>
    <xf numFmtId="166" fontId="9" fillId="4" borderId="4" xfId="0" applyNumberFormat="1" applyFont="1" applyFill="1" applyBorder="1" applyAlignment="1">
      <alignment horizontal="center"/>
    </xf>
    <xf numFmtId="9" fontId="19" fillId="0" borderId="10" xfId="0" applyNumberFormat="1" applyFont="1" applyBorder="1"/>
    <xf numFmtId="0" fontId="9" fillId="3" borderId="5" xfId="0" applyFont="1" applyFill="1" applyBorder="1" applyAlignment="1">
      <alignment wrapText="1"/>
    </xf>
    <xf numFmtId="0" fontId="20" fillId="0" borderId="0" xfId="0" applyFont="1"/>
    <xf numFmtId="165" fontId="21" fillId="4" borderId="1" xfId="1" applyNumberFormat="1" applyFont="1" applyFill="1" applyBorder="1" applyAlignment="1" applyProtection="1">
      <alignment horizontal="center"/>
    </xf>
    <xf numFmtId="165" fontId="21" fillId="4" borderId="4" xfId="1" applyNumberFormat="1" applyFont="1" applyFill="1" applyBorder="1" applyAlignment="1" applyProtection="1">
      <alignment horizontal="center"/>
    </xf>
    <xf numFmtId="0" fontId="21" fillId="3" borderId="17" xfId="0" applyFont="1" applyFill="1" applyBorder="1" applyAlignment="1" applyProtection="1">
      <alignment horizontal="center"/>
      <protection locked="0"/>
    </xf>
    <xf numFmtId="0" fontId="21" fillId="4" borderId="4" xfId="0" applyFont="1" applyFill="1" applyBorder="1" applyAlignment="1" applyProtection="1">
      <alignment horizontal="center"/>
      <protection locked="0"/>
    </xf>
    <xf numFmtId="9" fontId="21" fillId="4" borderId="4" xfId="1" applyFont="1" applyFill="1" applyBorder="1" applyAlignment="1" applyProtection="1">
      <alignment horizontal="center"/>
      <protection locked="0"/>
    </xf>
    <xf numFmtId="0" fontId="21" fillId="4" borderId="15" xfId="0" applyFont="1" applyFill="1" applyBorder="1" applyAlignment="1" applyProtection="1">
      <alignment horizontal="center"/>
      <protection locked="0"/>
    </xf>
    <xf numFmtId="0" fontId="21" fillId="4" borderId="16" xfId="0" applyFont="1" applyFill="1" applyBorder="1" applyAlignment="1" applyProtection="1">
      <alignment horizontal="center"/>
      <protection locked="0"/>
    </xf>
    <xf numFmtId="0" fontId="21" fillId="4" borderId="17" xfId="0" applyFont="1" applyFill="1" applyBorder="1" applyAlignment="1" applyProtection="1">
      <alignment horizontal="center"/>
      <protection locked="0"/>
    </xf>
    <xf numFmtId="165" fontId="21" fillId="4" borderId="20" xfId="1" applyNumberFormat="1" applyFont="1" applyFill="1" applyBorder="1" applyAlignment="1" applyProtection="1">
      <alignment horizontal="center"/>
    </xf>
    <xf numFmtId="165" fontId="21" fillId="4" borderId="15" xfId="1" applyNumberFormat="1" applyFont="1" applyFill="1" applyBorder="1" applyAlignment="1" applyProtection="1">
      <alignment horizontal="center"/>
    </xf>
    <xf numFmtId="165" fontId="21" fillId="4" borderId="14" xfId="1" applyNumberFormat="1" applyFont="1" applyFill="1" applyBorder="1" applyAlignment="1" applyProtection="1">
      <alignment horizontal="center"/>
    </xf>
    <xf numFmtId="0" fontId="21" fillId="4" borderId="9" xfId="0" applyFont="1" applyFill="1" applyBorder="1" applyAlignment="1" applyProtection="1">
      <alignment horizontal="center"/>
      <protection locked="0"/>
    </xf>
    <xf numFmtId="1" fontId="21" fillId="4" borderId="4" xfId="0" applyNumberFormat="1" applyFont="1" applyFill="1" applyBorder="1" applyAlignment="1" applyProtection="1">
      <alignment horizontal="center"/>
      <protection locked="0"/>
    </xf>
    <xf numFmtId="0" fontId="3" fillId="5" borderId="0" xfId="0" applyFont="1" applyFill="1" applyAlignment="1">
      <alignment horizontal="right"/>
    </xf>
    <xf numFmtId="0" fontId="3" fillId="5" borderId="0" xfId="0" applyFont="1" applyFill="1" applyAlignment="1">
      <alignment horizontal="center"/>
    </xf>
    <xf numFmtId="0" fontId="3" fillId="5" borderId="0" xfId="0" applyFont="1" applyFill="1"/>
    <xf numFmtId="0" fontId="0" fillId="5" borderId="0" xfId="0" applyFill="1"/>
    <xf numFmtId="9" fontId="3" fillId="5" borderId="0" xfId="1" applyFont="1" applyFill="1" applyBorder="1" applyAlignment="1">
      <alignment horizontal="center"/>
    </xf>
    <xf numFmtId="1" fontId="3" fillId="5" borderId="0" xfId="1" applyNumberFormat="1" applyFont="1" applyFill="1" applyBorder="1" applyAlignment="1">
      <alignment horizontal="center"/>
    </xf>
    <xf numFmtId="0" fontId="3" fillId="5" borderId="0" xfId="1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5" fontId="3" fillId="5" borderId="0" xfId="0" applyNumberFormat="1" applyFont="1" applyFill="1" applyAlignment="1">
      <alignment horizontal="center"/>
    </xf>
    <xf numFmtId="9" fontId="3" fillId="5" borderId="0" xfId="0" applyNumberFormat="1" applyFont="1" applyFill="1" applyAlignment="1">
      <alignment horizontal="center"/>
    </xf>
    <xf numFmtId="165" fontId="3" fillId="5" borderId="0" xfId="1" applyNumberFormat="1" applyFont="1" applyFill="1" applyBorder="1" applyAlignment="1">
      <alignment horizontal="center"/>
    </xf>
    <xf numFmtId="164" fontId="3" fillId="5" borderId="0" xfId="0" applyNumberFormat="1" applyFont="1" applyFill="1" applyAlignment="1">
      <alignment horizontal="center"/>
    </xf>
    <xf numFmtId="1" fontId="3" fillId="5" borderId="0" xfId="0" applyNumberFormat="1" applyFont="1" applyFill="1" applyAlignment="1">
      <alignment horizontal="center"/>
    </xf>
    <xf numFmtId="0" fontId="7" fillId="5" borderId="0" xfId="0" applyFont="1" applyFill="1" applyAlignment="1">
      <alignment horizontal="center"/>
    </xf>
    <xf numFmtId="9" fontId="7" fillId="5" borderId="0" xfId="1" applyFont="1" applyFill="1" applyBorder="1" applyAlignment="1">
      <alignment horizontal="center"/>
    </xf>
    <xf numFmtId="0" fontId="6" fillId="5" borderId="0" xfId="0" applyFont="1" applyFill="1"/>
    <xf numFmtId="0" fontId="0" fillId="6" borderId="0" xfId="0" applyFill="1"/>
    <xf numFmtId="0" fontId="2" fillId="6" borderId="0" xfId="0" applyFont="1" applyFill="1"/>
    <xf numFmtId="0" fontId="3" fillId="6" borderId="0" xfId="0" applyFont="1" applyFill="1"/>
    <xf numFmtId="0" fontId="6" fillId="6" borderId="0" xfId="0" applyFont="1" applyFill="1"/>
    <xf numFmtId="0" fontId="0" fillId="6" borderId="0" xfId="0" applyFill="1" applyAlignment="1">
      <alignment horizontal="right"/>
    </xf>
    <xf numFmtId="0" fontId="0" fillId="6" borderId="0" xfId="0" applyFill="1" applyProtection="1">
      <protection locked="0"/>
    </xf>
    <xf numFmtId="1" fontId="0" fillId="6" borderId="0" xfId="0" applyNumberFormat="1" applyFill="1"/>
    <xf numFmtId="166" fontId="0" fillId="6" borderId="0" xfId="0" applyNumberFormat="1" applyFill="1"/>
    <xf numFmtId="0" fontId="15" fillId="6" borderId="0" xfId="0" applyFont="1" applyFill="1" applyProtection="1">
      <protection locked="0"/>
    </xf>
    <xf numFmtId="0" fontId="5" fillId="6" borderId="0" xfId="0" applyFont="1" applyFill="1"/>
    <xf numFmtId="1" fontId="3" fillId="6" borderId="0" xfId="0" applyNumberFormat="1" applyFont="1" applyFill="1"/>
    <xf numFmtId="2" fontId="0" fillId="6" borderId="0" xfId="0" applyNumberFormat="1" applyFill="1"/>
    <xf numFmtId="9" fontId="0" fillId="6" borderId="0" xfId="1" applyFont="1" applyFill="1" applyBorder="1"/>
    <xf numFmtId="10" fontId="0" fillId="6" borderId="0" xfId="1" applyNumberFormat="1" applyFont="1" applyFill="1" applyBorder="1"/>
    <xf numFmtId="0" fontId="9" fillId="6" borderId="40" xfId="0" applyFont="1" applyFill="1" applyBorder="1" applyAlignment="1">
      <alignment horizontal="center" vertical="center"/>
    </xf>
    <xf numFmtId="0" fontId="9" fillId="6" borderId="39" xfId="0" applyFont="1" applyFill="1" applyBorder="1" applyAlignment="1">
      <alignment horizontal="center" vertical="center"/>
    </xf>
    <xf numFmtId="0" fontId="9" fillId="6" borderId="41" xfId="0" applyFont="1" applyFill="1" applyBorder="1" applyAlignment="1">
      <alignment horizontal="center" vertical="center"/>
    </xf>
    <xf numFmtId="0" fontId="9" fillId="6" borderId="39" xfId="0" applyFont="1" applyFill="1" applyBorder="1" applyAlignment="1">
      <alignment vertical="center"/>
    </xf>
    <xf numFmtId="9" fontId="21" fillId="4" borderId="37" xfId="0" applyNumberFormat="1" applyFont="1" applyFill="1" applyBorder="1" applyAlignment="1" applyProtection="1">
      <alignment horizontal="center"/>
      <protection locked="0"/>
    </xf>
    <xf numFmtId="0" fontId="22" fillId="0" borderId="38" xfId="0" applyFont="1" applyBorder="1" applyAlignment="1">
      <alignment horizontal="center"/>
    </xf>
    <xf numFmtId="0" fontId="14" fillId="6" borderId="0" xfId="0" applyFont="1" applyFill="1" applyAlignment="1">
      <alignment horizontal="center"/>
    </xf>
    <xf numFmtId="0" fontId="9" fillId="6" borderId="39" xfId="0" applyFont="1" applyFill="1" applyBorder="1" applyAlignment="1">
      <alignment horizontal="center" vertical="center"/>
    </xf>
    <xf numFmtId="0" fontId="9" fillId="6" borderId="40" xfId="0" applyFont="1" applyFill="1" applyBorder="1" applyAlignment="1">
      <alignment horizontal="center" vertical="center"/>
    </xf>
    <xf numFmtId="0" fontId="9" fillId="6" borderId="41" xfId="0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E7F4D8"/>
      <color rgb="FFD4EC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png"/><Relationship Id="rId6" Type="http://schemas.openxmlformats.org/officeDocument/2006/relationships/image" Target="../media/image14.jpeg"/><Relationship Id="rId11" Type="http://schemas.openxmlformats.org/officeDocument/2006/relationships/image" Target="../media/image19.jpeg"/><Relationship Id="rId5" Type="http://schemas.openxmlformats.org/officeDocument/2006/relationships/image" Target="../media/image13.jpeg"/><Relationship Id="rId10" Type="http://schemas.openxmlformats.org/officeDocument/2006/relationships/image" Target="../media/image18.jpeg"/><Relationship Id="rId4" Type="http://schemas.openxmlformats.org/officeDocument/2006/relationships/image" Target="../media/image12.jpeg"/><Relationship Id="rId9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94060</xdr:colOff>
      <xdr:row>1</xdr:row>
      <xdr:rowOff>14285</xdr:rowOff>
    </xdr:from>
    <xdr:to>
      <xdr:col>6</xdr:col>
      <xdr:colOff>707258</xdr:colOff>
      <xdr:row>24</xdr:row>
      <xdr:rowOff>68259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060" y="97629"/>
          <a:ext cx="7951020" cy="3700462"/>
        </a:xfrm>
        <a:prstGeom prst="rect">
          <a:avLst/>
        </a:prstGeom>
        <a:ln w="38100">
          <a:solidFill>
            <a:srgbClr val="92D050"/>
          </a:solidFill>
        </a:ln>
      </xdr:spPr>
    </xdr:pic>
    <xdr:clientData/>
  </xdr:twoCellAnchor>
  <xdr:twoCellAnchor editAs="oneCell">
    <xdr:from>
      <xdr:col>6</xdr:col>
      <xdr:colOff>785813</xdr:colOff>
      <xdr:row>17</xdr:row>
      <xdr:rowOff>40306</xdr:rowOff>
    </xdr:from>
    <xdr:to>
      <xdr:col>7</xdr:col>
      <xdr:colOff>296860</xdr:colOff>
      <xdr:row>24</xdr:row>
      <xdr:rowOff>96079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143876" y="2483469"/>
          <a:ext cx="1104898" cy="1313073"/>
        </a:xfrm>
        <a:prstGeom prst="rect">
          <a:avLst/>
        </a:prstGeom>
        <a:ln w="12700">
          <a:solidFill>
            <a:srgbClr val="92D050"/>
          </a:solidFill>
        </a:ln>
      </xdr:spPr>
    </xdr:pic>
    <xdr:clientData/>
  </xdr:twoCellAnchor>
  <xdr:twoCellAnchor>
    <xdr:from>
      <xdr:col>1</xdr:col>
      <xdr:colOff>1466850</xdr:colOff>
      <xdr:row>46</xdr:row>
      <xdr:rowOff>47626</xdr:rowOff>
    </xdr:from>
    <xdr:to>
      <xdr:col>3</xdr:col>
      <xdr:colOff>1679575</xdr:colOff>
      <xdr:row>50</xdr:row>
      <xdr:rowOff>95251</xdr:rowOff>
    </xdr:to>
    <xdr:sp macro="" textlink="">
      <xdr:nvSpPr>
        <xdr:cNvPr id="8" name="TextBox 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638300" y="7353301"/>
          <a:ext cx="4956175" cy="6667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Disclaimer: All </a:t>
          </a:r>
          <a:r>
            <a:rPr lang="en-CA" sz="800" b="1">
              <a:solidFill>
                <a:schemeClr val="dk1"/>
              </a:solidFill>
              <a:latin typeface="+mn-lt"/>
              <a:ea typeface="+mn-ea"/>
              <a:cs typeface="+mn-cs"/>
            </a:rPr>
            <a:t>energy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CA" sz="800" b="1">
              <a:solidFill>
                <a:schemeClr val="dk1"/>
              </a:solidFill>
              <a:latin typeface="+mn-lt"/>
              <a:ea typeface="+mn-ea"/>
              <a:cs typeface="+mn-cs"/>
            </a:rPr>
            <a:t>savings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listed on this page are by their nature, theoretical. The calculations performed are an estimate of the potential savings under the given circumstances and should be</a:t>
          </a:r>
          <a:r>
            <a:rPr lang="en-CA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considered as such.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EcoInnovation or its associates cannot be held accountable for differences between theoretical and actual energy savings. </a:t>
          </a:r>
        </a:p>
        <a:p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All models shown are efficiency verified under</a:t>
          </a:r>
          <a:r>
            <a:rPr lang="en-CA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CSA B55.1.</a:t>
          </a:r>
          <a:endParaRPr lang="en-CA" sz="800"/>
        </a:p>
      </xdr:txBody>
    </xdr:sp>
    <xdr:clientData/>
  </xdr:twoCellAnchor>
  <xdr:twoCellAnchor editAs="oneCell">
    <xdr:from>
      <xdr:col>3</xdr:col>
      <xdr:colOff>309564</xdr:colOff>
      <xdr:row>29</xdr:row>
      <xdr:rowOff>71438</xdr:rowOff>
    </xdr:from>
    <xdr:to>
      <xdr:col>6</xdr:col>
      <xdr:colOff>929481</xdr:colOff>
      <xdr:row>33</xdr:row>
      <xdr:rowOff>125411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57141497-F764-493B-AFDC-867E98591B0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559" t="13433"/>
        <a:stretch>
          <a:fillRect/>
        </a:stretch>
      </xdr:blipFill>
      <xdr:spPr>
        <a:xfrm>
          <a:off x="5581652" y="4524376"/>
          <a:ext cx="2700336" cy="647699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26</xdr:row>
      <xdr:rowOff>28575</xdr:rowOff>
    </xdr:from>
    <xdr:to>
      <xdr:col>6</xdr:col>
      <xdr:colOff>1173955</xdr:colOff>
      <xdr:row>29</xdr:row>
      <xdr:rowOff>68262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D785C0E5-36E3-4DD7-83E8-C093754F6A05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578"/>
        <a:stretch>
          <a:fillRect/>
        </a:stretch>
      </xdr:blipFill>
      <xdr:spPr>
        <a:xfrm>
          <a:off x="5748338" y="4029075"/>
          <a:ext cx="2776537" cy="4905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104776</xdr:colOff>
      <xdr:row>1</xdr:row>
      <xdr:rowOff>19050</xdr:rowOff>
    </xdr:from>
    <xdr:to>
      <xdr:col>6</xdr:col>
      <xdr:colOff>952498</xdr:colOff>
      <xdr:row>23</xdr:row>
      <xdr:rowOff>88571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6" y="390525"/>
          <a:ext cx="8210550" cy="3496937"/>
        </a:xfrm>
        <a:prstGeom prst="rect">
          <a:avLst/>
        </a:prstGeom>
        <a:ln w="38100">
          <a:solidFill>
            <a:srgbClr val="92D050"/>
          </a:solidFill>
        </a:ln>
      </xdr:spPr>
    </xdr:pic>
    <xdr:clientData/>
  </xdr:twoCellAnchor>
  <xdr:twoCellAnchor editAs="oneCell">
    <xdr:from>
      <xdr:col>6</xdr:col>
      <xdr:colOff>1085849</xdr:colOff>
      <xdr:row>15</xdr:row>
      <xdr:rowOff>123825</xdr:rowOff>
    </xdr:from>
    <xdr:to>
      <xdr:col>7</xdr:col>
      <xdr:colOff>620709</xdr:colOff>
      <xdr:row>23</xdr:row>
      <xdr:rowOff>106846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43912" y="2247900"/>
          <a:ext cx="1122360" cy="1337159"/>
        </a:xfrm>
        <a:prstGeom prst="rect">
          <a:avLst/>
        </a:prstGeom>
        <a:ln w="12700">
          <a:solidFill>
            <a:srgbClr val="92D050"/>
          </a:solidFill>
        </a:ln>
      </xdr:spPr>
    </xdr:pic>
    <xdr:clientData/>
  </xdr:twoCellAnchor>
  <xdr:twoCellAnchor>
    <xdr:from>
      <xdr:col>1</xdr:col>
      <xdr:colOff>1457325</xdr:colOff>
      <xdr:row>45</xdr:row>
      <xdr:rowOff>47625</xdr:rowOff>
    </xdr:from>
    <xdr:to>
      <xdr:col>3</xdr:col>
      <xdr:colOff>1670050</xdr:colOff>
      <xdr:row>49</xdr:row>
      <xdr:rowOff>85725</xdr:rowOff>
    </xdr:to>
    <xdr:sp macro="" textlink="">
      <xdr:nvSpPr>
        <xdr:cNvPr id="8" name="TextBox 4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628775" y="7134225"/>
          <a:ext cx="4956175" cy="6572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Disclaimer: All </a:t>
          </a:r>
          <a:r>
            <a:rPr lang="en-CA" sz="800" b="1">
              <a:solidFill>
                <a:schemeClr val="dk1"/>
              </a:solidFill>
              <a:latin typeface="+mn-lt"/>
              <a:ea typeface="+mn-ea"/>
              <a:cs typeface="+mn-cs"/>
            </a:rPr>
            <a:t>energy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CA" sz="800" b="1">
              <a:solidFill>
                <a:schemeClr val="dk1"/>
              </a:solidFill>
              <a:latin typeface="+mn-lt"/>
              <a:ea typeface="+mn-ea"/>
              <a:cs typeface="+mn-cs"/>
            </a:rPr>
            <a:t>savings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listed on this page are by their nature, theoretical. The calculations performed are an estimate of the potential savings under the given circumstances and should be</a:t>
          </a:r>
          <a:r>
            <a:rPr lang="en-CA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considered as such.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EcoInnovation or its associates cannot be held accountable for differences between theoretical and actual energy savings. </a:t>
          </a:r>
        </a:p>
        <a:p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All models shown are efficiency verified under</a:t>
          </a:r>
          <a:r>
            <a:rPr lang="en-CA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CSA B55.1.</a:t>
          </a:r>
          <a:endParaRPr lang="en-CA" sz="800"/>
        </a:p>
      </xdr:txBody>
    </xdr:sp>
    <xdr:clientData/>
  </xdr:twoCellAnchor>
  <xdr:twoCellAnchor editAs="oneCell">
    <xdr:from>
      <xdr:col>3</xdr:col>
      <xdr:colOff>342899</xdr:colOff>
      <xdr:row>28</xdr:row>
      <xdr:rowOff>90488</xdr:rowOff>
    </xdr:from>
    <xdr:to>
      <xdr:col>6</xdr:col>
      <xdr:colOff>950910</xdr:colOff>
      <xdr:row>33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0C4B223-5269-49CA-AC2F-BB3AA6DF2799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559" t="13433"/>
        <a:stretch>
          <a:fillRect/>
        </a:stretch>
      </xdr:blipFill>
      <xdr:spPr>
        <a:xfrm>
          <a:off x="5614987" y="4324351"/>
          <a:ext cx="2700336" cy="647699"/>
        </a:xfrm>
        <a:prstGeom prst="rect">
          <a:avLst/>
        </a:prstGeom>
      </xdr:spPr>
    </xdr:pic>
    <xdr:clientData/>
  </xdr:twoCellAnchor>
  <xdr:twoCellAnchor editAs="oneCell">
    <xdr:from>
      <xdr:col>3</xdr:col>
      <xdr:colOff>509585</xdr:colOff>
      <xdr:row>25</xdr:row>
      <xdr:rowOff>47625</xdr:rowOff>
    </xdr:from>
    <xdr:to>
      <xdr:col>6</xdr:col>
      <xdr:colOff>1193797</xdr:colOff>
      <xdr:row>28</xdr:row>
      <xdr:rowOff>85725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6C47D924-5B7D-4B75-984B-F67A81C58E53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578"/>
        <a:stretch>
          <a:fillRect/>
        </a:stretch>
      </xdr:blipFill>
      <xdr:spPr>
        <a:xfrm>
          <a:off x="5781673" y="3829050"/>
          <a:ext cx="2776537" cy="49053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1778000</xdr:colOff>
      <xdr:row>72</xdr:row>
      <xdr:rowOff>19050</xdr:rowOff>
    </xdr:from>
    <xdr:to>
      <xdr:col>3</xdr:col>
      <xdr:colOff>1666875</xdr:colOff>
      <xdr:row>76</xdr:row>
      <xdr:rowOff>28574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1949450" y="12087225"/>
          <a:ext cx="4956175" cy="6286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Disclaimer: All </a:t>
          </a:r>
          <a:r>
            <a:rPr lang="en-CA" sz="800" b="1">
              <a:solidFill>
                <a:schemeClr val="dk1"/>
              </a:solidFill>
              <a:latin typeface="+mn-lt"/>
              <a:ea typeface="+mn-ea"/>
              <a:cs typeface="+mn-cs"/>
            </a:rPr>
            <a:t>energy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CA" sz="800" b="1">
              <a:solidFill>
                <a:schemeClr val="dk1"/>
              </a:solidFill>
              <a:latin typeface="+mn-lt"/>
              <a:ea typeface="+mn-ea"/>
              <a:cs typeface="+mn-cs"/>
            </a:rPr>
            <a:t>savings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listed on this page are by their nature, theoretical. The calculations performed are an estimate of the potential savings under the given circumstances and should be</a:t>
          </a:r>
          <a:r>
            <a:rPr lang="en-CA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considered as such.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 EcoInnovation or its associates cannot be held accountable for differences between theoretical and actual energy savings. </a:t>
          </a:r>
        </a:p>
        <a:p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All models shown are efficiency verified under</a:t>
          </a:r>
          <a:r>
            <a:rPr lang="en-CA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CA" sz="800">
              <a:solidFill>
                <a:schemeClr val="dk1"/>
              </a:solidFill>
              <a:latin typeface="+mn-lt"/>
              <a:ea typeface="+mn-ea"/>
              <a:cs typeface="+mn-cs"/>
            </a:rPr>
            <a:t>CSA B55.1.</a:t>
          </a:r>
          <a:endParaRPr lang="en-CA" sz="800"/>
        </a:p>
      </xdr:txBody>
    </xdr:sp>
    <xdr:clientData/>
  </xdr:twoCellAnchor>
  <xdr:twoCellAnchor editAs="oneCell">
    <xdr:from>
      <xdr:col>8</xdr:col>
      <xdr:colOff>360586</xdr:colOff>
      <xdr:row>47</xdr:row>
      <xdr:rowOff>32177</xdr:rowOff>
    </xdr:from>
    <xdr:to>
      <xdr:col>10</xdr:col>
      <xdr:colOff>81642</xdr:colOff>
      <xdr:row>60</xdr:row>
      <xdr:rowOff>141283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366599" y="7871252"/>
          <a:ext cx="1710194" cy="2045857"/>
        </a:xfrm>
        <a:prstGeom prst="rect">
          <a:avLst/>
        </a:prstGeom>
        <a:ln w="12700">
          <a:solidFill>
            <a:srgbClr val="92D050"/>
          </a:solidFill>
        </a:ln>
      </xdr:spPr>
    </xdr:pic>
    <xdr:clientData/>
  </xdr:twoCellAnchor>
  <xdr:twoCellAnchor editAs="oneCell">
    <xdr:from>
      <xdr:col>2</xdr:col>
      <xdr:colOff>1931457</xdr:colOff>
      <xdr:row>0</xdr:row>
      <xdr:rowOff>139794</xdr:rowOff>
    </xdr:from>
    <xdr:to>
      <xdr:col>8</xdr:col>
      <xdr:colOff>186251</xdr:colOff>
      <xdr:row>42</xdr:row>
      <xdr:rowOff>67847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0083" y="139794"/>
          <a:ext cx="4677834" cy="6615148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0</xdr:row>
      <xdr:rowOff>124985</xdr:rowOff>
    </xdr:from>
    <xdr:to>
      <xdr:col>2</xdr:col>
      <xdr:colOff>1346868</xdr:colOff>
      <xdr:row>42</xdr:row>
      <xdr:rowOff>87297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6" y="124985"/>
          <a:ext cx="4697569" cy="6643057"/>
        </a:xfrm>
        <a:prstGeom prst="rect">
          <a:avLst/>
        </a:prstGeom>
      </xdr:spPr>
    </xdr:pic>
    <xdr:clientData/>
  </xdr:twoCellAnchor>
  <xdr:twoCellAnchor editAs="oneCell">
    <xdr:from>
      <xdr:col>8</xdr:col>
      <xdr:colOff>336259</xdr:colOff>
      <xdr:row>1</xdr:row>
      <xdr:rowOff>19730</xdr:rowOff>
    </xdr:from>
    <xdr:to>
      <xdr:col>13</xdr:col>
      <xdr:colOff>571499</xdr:colOff>
      <xdr:row>46</xdr:row>
      <xdr:rowOff>69687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1116" y="164873"/>
          <a:ext cx="4154097" cy="7496921"/>
        </a:xfrm>
        <a:prstGeom prst="rect">
          <a:avLst/>
        </a:prstGeom>
      </xdr:spPr>
    </xdr:pic>
    <xdr:clientData/>
  </xdr:twoCellAnchor>
  <xdr:twoCellAnchor editAs="oneCell">
    <xdr:from>
      <xdr:col>14</xdr:col>
      <xdr:colOff>50118</xdr:colOff>
      <xdr:row>1</xdr:row>
      <xdr:rowOff>18142</xdr:rowOff>
    </xdr:from>
    <xdr:to>
      <xdr:col>20</xdr:col>
      <xdr:colOff>353290</xdr:colOff>
      <xdr:row>46</xdr:row>
      <xdr:rowOff>87085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27904" y="163285"/>
          <a:ext cx="4164425" cy="7511144"/>
        </a:xfrm>
        <a:prstGeom prst="rect">
          <a:avLst/>
        </a:prstGeom>
      </xdr:spPr>
    </xdr:pic>
    <xdr:clientData/>
  </xdr:twoCellAnchor>
  <xdr:twoCellAnchor editAs="oneCell">
    <xdr:from>
      <xdr:col>20</xdr:col>
      <xdr:colOff>419992</xdr:colOff>
      <xdr:row>1</xdr:row>
      <xdr:rowOff>14966</xdr:rowOff>
    </xdr:from>
    <xdr:to>
      <xdr:col>27</xdr:col>
      <xdr:colOff>83230</xdr:colOff>
      <xdr:row>46</xdr:row>
      <xdr:rowOff>88938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78082" y="164645"/>
          <a:ext cx="4186025" cy="7697601"/>
        </a:xfrm>
        <a:prstGeom prst="rect">
          <a:avLst/>
        </a:prstGeom>
      </xdr:spPr>
    </xdr:pic>
    <xdr:clientData/>
  </xdr:twoCellAnchor>
  <xdr:twoCellAnchor editAs="oneCell">
    <xdr:from>
      <xdr:col>27</xdr:col>
      <xdr:colOff>154215</xdr:colOff>
      <xdr:row>1</xdr:row>
      <xdr:rowOff>0</xdr:rowOff>
    </xdr:from>
    <xdr:to>
      <xdr:col>33</xdr:col>
      <xdr:colOff>475984</xdr:colOff>
      <xdr:row>46</xdr:row>
      <xdr:rowOff>95249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6679" y="149679"/>
          <a:ext cx="4199805" cy="7722053"/>
        </a:xfrm>
        <a:prstGeom prst="rect">
          <a:avLst/>
        </a:prstGeom>
      </xdr:spPr>
    </xdr:pic>
    <xdr:clientData/>
  </xdr:twoCellAnchor>
  <xdr:twoCellAnchor editAs="oneCell">
    <xdr:from>
      <xdr:col>33</xdr:col>
      <xdr:colOff>547459</xdr:colOff>
      <xdr:row>1</xdr:row>
      <xdr:rowOff>0</xdr:rowOff>
    </xdr:from>
    <xdr:to>
      <xdr:col>40</xdr:col>
      <xdr:colOff>222928</xdr:colOff>
      <xdr:row>46</xdr:row>
      <xdr:rowOff>96773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7959" y="149679"/>
          <a:ext cx="4201433" cy="77235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228600</xdr:rowOff>
    </xdr:from>
    <xdr:to>
      <xdr:col>3</xdr:col>
      <xdr:colOff>946197</xdr:colOff>
      <xdr:row>48</xdr:row>
      <xdr:rowOff>139707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0" y="6991350"/>
          <a:ext cx="6562773" cy="1133483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457200</xdr:colOff>
      <xdr:row>54</xdr:row>
      <xdr:rowOff>23814</xdr:rowOff>
    </xdr:from>
    <xdr:to>
      <xdr:col>6</xdr:col>
      <xdr:colOff>1073148</xdr:colOff>
      <xdr:row>58</xdr:row>
      <xdr:rowOff>82550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id="{27B5A5F6-37F7-48B0-8C8C-C96D8425BFB7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559" t="13433"/>
        <a:stretch>
          <a:fillRect/>
        </a:stretch>
      </xdr:blipFill>
      <xdr:spPr>
        <a:xfrm>
          <a:off x="6072188" y="8910639"/>
          <a:ext cx="2700336" cy="647699"/>
        </a:xfrm>
        <a:prstGeom prst="rect">
          <a:avLst/>
        </a:prstGeom>
      </xdr:spPr>
    </xdr:pic>
    <xdr:clientData/>
  </xdr:twoCellAnchor>
  <xdr:twoCellAnchor editAs="oneCell">
    <xdr:from>
      <xdr:col>3</xdr:col>
      <xdr:colOff>652461</xdr:colOff>
      <xdr:row>51</xdr:row>
      <xdr:rowOff>1</xdr:rowOff>
    </xdr:from>
    <xdr:to>
      <xdr:col>6</xdr:col>
      <xdr:colOff>1346198</xdr:colOff>
      <xdr:row>54</xdr:row>
      <xdr:rowOff>44451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A2E29417-57AF-41DD-BE70-FD6B6C88C4C8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578"/>
        <a:stretch>
          <a:fillRect/>
        </a:stretch>
      </xdr:blipFill>
      <xdr:spPr>
        <a:xfrm>
          <a:off x="6267449" y="8439151"/>
          <a:ext cx="2776537" cy="4905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rigin">
      <a:fillStyleLst>
        <a:solidFill>
          <a:schemeClr val="phClr"/>
        </a:solidFill>
        <a:gradFill rotWithShape="1">
          <a:gsLst>
            <a:gs pos="0">
              <a:schemeClr val="phClr">
                <a:tint val="45000"/>
                <a:satMod val="200000"/>
              </a:schemeClr>
            </a:gs>
            <a:gs pos="30000">
              <a:schemeClr val="phClr">
                <a:tint val="61000"/>
                <a:satMod val="200000"/>
              </a:schemeClr>
            </a:gs>
            <a:gs pos="45000">
              <a:schemeClr val="phClr">
                <a:tint val="66000"/>
                <a:satMod val="200000"/>
              </a:schemeClr>
            </a:gs>
            <a:gs pos="55000">
              <a:schemeClr val="phClr">
                <a:tint val="66000"/>
                <a:satMod val="200000"/>
              </a:schemeClr>
            </a:gs>
            <a:gs pos="73000">
              <a:schemeClr val="phClr">
                <a:tint val="61000"/>
                <a:satMod val="200000"/>
              </a:schemeClr>
            </a:gs>
            <a:gs pos="100000">
              <a:schemeClr val="phClr">
                <a:tint val="45000"/>
                <a:satMod val="200000"/>
              </a:schemeClr>
            </a:gs>
          </a:gsLst>
          <a:lin ang="950000" scaled="1"/>
        </a:gradFill>
        <a:gradFill rotWithShape="1">
          <a:gsLst>
            <a:gs pos="0">
              <a:schemeClr val="phClr">
                <a:shade val="63000"/>
              </a:schemeClr>
            </a:gs>
            <a:gs pos="30000">
              <a:schemeClr val="phClr">
                <a:shade val="90000"/>
                <a:satMod val="110000"/>
              </a:schemeClr>
            </a:gs>
            <a:gs pos="45000">
              <a:schemeClr val="phClr">
                <a:shade val="100000"/>
                <a:satMod val="118000"/>
              </a:schemeClr>
            </a:gs>
            <a:gs pos="55000">
              <a:schemeClr val="phClr">
                <a:shade val="100000"/>
                <a:satMod val="118000"/>
              </a:schemeClr>
            </a:gs>
            <a:gs pos="73000">
              <a:schemeClr val="phClr">
                <a:shade val="90000"/>
                <a:satMod val="110000"/>
              </a:schemeClr>
            </a:gs>
            <a:gs pos="100000">
              <a:schemeClr val="phClr">
                <a:shade val="63000"/>
              </a:schemeClr>
            </a:gs>
          </a:gsLst>
          <a:lin ang="950000" scaled="1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43000" dir="5400000" rotWithShape="0">
              <a:srgbClr val="000000">
                <a:alpha val="40000"/>
              </a:srgbClr>
            </a:outerShdw>
          </a:effectLst>
          <a:scene3d>
            <a:camera prst="orthographicFront" fov="0">
              <a:rot lat="0" lon="0" rev="0"/>
            </a:camera>
            <a:lightRig rig="balanced" dir="t">
              <a:rot lat="0" lon="0" rev="0"/>
            </a:lightRig>
          </a:scene3d>
          <a:sp3d prstMaterial="matte">
            <a:bevelT w="0" h="0"/>
            <a:contourClr>
              <a:schemeClr val="phClr">
                <a:tint val="100000"/>
                <a:shade val="100000"/>
                <a:hueMod val="100000"/>
                <a:satMod val="100000"/>
              </a:schemeClr>
            </a:contourClr>
          </a:sp3d>
        </a:effectStyle>
        <a:effectStyle>
          <a:effectLst>
            <a:outerShdw blurRad="50800" dist="25400" dir="5400000" rotWithShape="0">
              <a:srgbClr val="000000">
                <a:alpha val="50000"/>
              </a:srgbClr>
            </a:outerShdw>
          </a:effectLst>
          <a:scene3d>
            <a:camera prst="orthographicFront" fov="0">
              <a:rot lat="0" lon="0" rev="0"/>
            </a:camera>
            <a:lightRig rig="soft" dir="t">
              <a:rot lat="0" lon="0" rev="2700000"/>
            </a:lightRig>
          </a:scene3d>
          <a:sp3d prstMaterial="matte">
            <a:bevelT w="50800" h="508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H52"/>
  <sheetViews>
    <sheetView showGridLines="0" showRuler="0" zoomScaleNormal="100" zoomScaleSheetLayoutView="100" workbookViewId="0">
      <selection activeCell="C28" sqref="C28"/>
    </sheetView>
  </sheetViews>
  <sheetFormatPr defaultColWidth="9" defaultRowHeight="11.4"/>
  <cols>
    <col min="1" max="1" width="2.578125" style="1" customWidth="1"/>
    <col min="2" max="2" width="45.578125" style="5" customWidth="1"/>
    <col min="3" max="3" width="25.578125" style="7" customWidth="1"/>
    <col min="4" max="4" width="25.578125" style="1" customWidth="1"/>
    <col min="5" max="5" width="3.578125" style="1" customWidth="1"/>
    <col min="6" max="6" width="1.41796875" style="1" hidden="1" customWidth="1"/>
    <col min="7" max="7" width="22.26171875" style="1" customWidth="1"/>
    <col min="8" max="8" width="10" style="1" customWidth="1"/>
    <col min="9" max="9" width="13.26171875" style="1" customWidth="1"/>
    <col min="10" max="10" width="14.578125" style="1" customWidth="1"/>
    <col min="11" max="16384" width="9" style="1"/>
  </cols>
  <sheetData>
    <row r="1" spans="2:8" ht="6.4" customHeight="1">
      <c r="B1" s="1"/>
      <c r="C1" s="1"/>
    </row>
    <row r="2" spans="2:8">
      <c r="B2" s="1"/>
      <c r="C2" s="1"/>
    </row>
    <row r="3" spans="2:8">
      <c r="B3" s="1"/>
      <c r="C3" s="1"/>
    </row>
    <row r="4" spans="2:8">
      <c r="B4" s="1"/>
      <c r="C4" s="1"/>
    </row>
    <row r="5" spans="2:8">
      <c r="B5" s="1"/>
      <c r="C5" s="1"/>
      <c r="E5" s="2"/>
      <c r="F5" s="3"/>
    </row>
    <row r="6" spans="2:8">
      <c r="B6" s="1"/>
      <c r="C6" s="1"/>
      <c r="E6" s="2"/>
      <c r="F6" s="3"/>
      <c r="G6" s="4"/>
      <c r="H6" s="5"/>
    </row>
    <row r="7" spans="2:8">
      <c r="B7" s="1"/>
      <c r="C7" s="1"/>
      <c r="G7" s="4"/>
      <c r="H7" s="5"/>
    </row>
    <row r="8" spans="2:8">
      <c r="B8" s="1"/>
      <c r="C8" s="1"/>
      <c r="G8" s="4"/>
      <c r="H8" s="5"/>
    </row>
    <row r="9" spans="2:8">
      <c r="B9" s="1"/>
      <c r="C9" s="1"/>
      <c r="G9" s="4"/>
      <c r="H9" s="5"/>
    </row>
    <row r="10" spans="2:8">
      <c r="B10" s="1"/>
      <c r="C10" s="1"/>
      <c r="G10" s="4"/>
      <c r="H10" s="5"/>
    </row>
    <row r="11" spans="2:8">
      <c r="B11" s="1"/>
      <c r="C11" s="1"/>
      <c r="G11" s="4"/>
      <c r="H11" s="5"/>
    </row>
    <row r="12" spans="2:8">
      <c r="B12" s="1"/>
      <c r="C12" s="1"/>
      <c r="E12" s="6"/>
      <c r="F12" s="7"/>
    </row>
    <row r="13" spans="2:8">
      <c r="B13" s="1"/>
      <c r="C13" s="1"/>
      <c r="E13" s="6"/>
      <c r="F13" s="7"/>
    </row>
    <row r="14" spans="2:8">
      <c r="B14" s="1"/>
      <c r="C14" s="1"/>
      <c r="E14" s="6"/>
      <c r="F14" s="7"/>
      <c r="H14" s="8"/>
    </row>
    <row r="15" spans="2:8">
      <c r="B15" s="1"/>
      <c r="C15" s="1"/>
      <c r="E15" s="6"/>
      <c r="F15" s="7"/>
    </row>
    <row r="16" spans="2:8">
      <c r="B16" s="1"/>
      <c r="C16" s="1"/>
      <c r="E16" s="6"/>
      <c r="F16" s="7"/>
    </row>
    <row r="17" spans="1:4">
      <c r="B17" s="1"/>
      <c r="C17" s="1"/>
    </row>
    <row r="18" spans="1:4">
      <c r="B18" s="1"/>
      <c r="C18" s="1"/>
    </row>
    <row r="19" spans="1:4">
      <c r="B19" s="1"/>
      <c r="C19" s="1"/>
    </row>
    <row r="20" spans="1:4">
      <c r="B20" s="1"/>
      <c r="C20" s="1"/>
    </row>
    <row r="21" spans="1:4">
      <c r="C21" s="9"/>
      <c r="D21" s="5"/>
    </row>
    <row r="22" spans="1:4" ht="29.25" customHeight="1">
      <c r="C22" s="9"/>
      <c r="D22" s="5"/>
    </row>
    <row r="26" spans="1:4" ht="11.7" thickBot="1"/>
    <row r="27" spans="1:4" ht="11.7" thickBot="1">
      <c r="A27" s="10"/>
      <c r="B27" s="11" t="s">
        <v>1</v>
      </c>
      <c r="C27" s="12"/>
    </row>
    <row r="28" spans="1:4" ht="11.7" thickTop="1">
      <c r="A28" s="13"/>
      <c r="B28" s="14" t="s">
        <v>69</v>
      </c>
      <c r="C28" s="74" t="s">
        <v>147</v>
      </c>
    </row>
    <row r="29" spans="1:4">
      <c r="A29" s="15"/>
      <c r="B29" s="16" t="s">
        <v>23</v>
      </c>
      <c r="C29" s="79">
        <v>10</v>
      </c>
    </row>
    <row r="30" spans="1:4">
      <c r="A30" s="15"/>
      <c r="B30" s="16" t="s">
        <v>49</v>
      </c>
      <c r="C30" s="70">
        <v>4</v>
      </c>
    </row>
    <row r="31" spans="1:4">
      <c r="A31" s="15"/>
      <c r="B31" s="16" t="s">
        <v>50</v>
      </c>
      <c r="C31" s="70" t="s">
        <v>63</v>
      </c>
    </row>
    <row r="32" spans="1:4">
      <c r="A32" s="15"/>
      <c r="B32" s="16" t="s">
        <v>59</v>
      </c>
      <c r="C32" s="71">
        <v>0.96</v>
      </c>
    </row>
    <row r="33" spans="1:7">
      <c r="A33" s="15"/>
      <c r="B33" s="16" t="s">
        <v>31</v>
      </c>
      <c r="C33" s="70" t="s">
        <v>33</v>
      </c>
    </row>
    <row r="34" spans="1:7">
      <c r="A34" s="17"/>
      <c r="B34" s="16" t="str">
        <f>CONCATENATE("Temperature of drain water in ",C33)</f>
        <v>Temperature of drain water in C°</v>
      </c>
      <c r="C34" s="70">
        <v>39.5</v>
      </c>
    </row>
    <row r="35" spans="1:7" ht="11.7" thickBot="1">
      <c r="A35" s="18"/>
      <c r="B35" s="19" t="str">
        <f>CONCATENATE("Temperature of cold water in ",C33)</f>
        <v>Temperature of cold water in C°</v>
      </c>
      <c r="C35" s="72">
        <v>13.2</v>
      </c>
    </row>
    <row r="36" spans="1:7" ht="12" thickTop="1" thickBot="1">
      <c r="A36" s="20"/>
      <c r="B36" s="21"/>
      <c r="C36" s="22"/>
      <c r="D36" s="20"/>
    </row>
    <row r="37" spans="1:7" ht="12" thickTop="1" thickBot="1">
      <c r="A37" s="23"/>
      <c r="B37" s="24" t="s">
        <v>53</v>
      </c>
      <c r="C37" s="25" t="s">
        <v>7</v>
      </c>
      <c r="D37" s="26" t="s">
        <v>8</v>
      </c>
    </row>
    <row r="38" spans="1:7" ht="11.7" thickTop="1">
      <c r="A38" s="13"/>
      <c r="B38" s="27" t="s">
        <v>53</v>
      </c>
      <c r="C38" s="73" t="s">
        <v>231</v>
      </c>
      <c r="D38" s="78" t="s">
        <v>200</v>
      </c>
    </row>
    <row r="39" spans="1:7">
      <c r="A39" s="28"/>
      <c r="B39" s="29" t="s">
        <v>51</v>
      </c>
      <c r="C39" s="30">
        <f>VLOOKUP(C38,'Drop Down Menus'!E15:F75,2,FALSE)/1000</f>
        <v>0.51</v>
      </c>
      <c r="D39" s="31">
        <f>VLOOKUP(D38,'Drop Down Menus'!E15:F75,2,FALSE)/1000</f>
        <v>0.57200000000000006</v>
      </c>
    </row>
    <row r="40" spans="1:7" ht="11.7" thickBot="1">
      <c r="A40" s="32"/>
      <c r="B40" s="33" t="s">
        <v>52</v>
      </c>
      <c r="C40" s="77">
        <f>'SCENARIO 1 2 3 DATA'!B31</f>
        <v>0.51</v>
      </c>
      <c r="D40" s="76">
        <f>'SCENARIO 1 2 3 DATA'!C31</f>
        <v>0.57199999999999995</v>
      </c>
    </row>
    <row r="41" spans="1:7" ht="12" thickTop="1" thickBot="1">
      <c r="A41" s="23"/>
      <c r="B41" s="24" t="s">
        <v>3</v>
      </c>
      <c r="C41" s="34"/>
      <c r="D41" s="35"/>
    </row>
    <row r="42" spans="1:7" ht="11.7" thickTop="1">
      <c r="A42" s="17"/>
      <c r="B42" s="27" t="s">
        <v>4</v>
      </c>
      <c r="C42" s="36" t="str">
        <f>CONCATENATE('SCENARIO 1 2 3 DATA'!B33," kWh")</f>
        <v>2264 kWh</v>
      </c>
      <c r="D42" s="36" t="str">
        <f>CONCATENATE('SCENARIO 1 2 3 DATA'!C33," kWh")</f>
        <v>2540 kWh</v>
      </c>
    </row>
    <row r="43" spans="1:7">
      <c r="A43" s="17"/>
      <c r="B43" s="29" t="s">
        <v>14</v>
      </c>
      <c r="C43" s="62" t="str">
        <f>CONCATENATE('SCENARIO 1 2 3 DATA'!B34," GJ")</f>
        <v>6.8 GJ</v>
      </c>
      <c r="D43" s="62" t="str">
        <f>CONCATENATE('SCENARIO 1 2 3 DATA'!C34," GJ")</f>
        <v>7.6 GJ</v>
      </c>
    </row>
    <row r="44" spans="1:7">
      <c r="A44" s="17"/>
      <c r="B44" s="29" t="s">
        <v>13</v>
      </c>
      <c r="C44" s="36" t="str">
        <f>CONCATENATE('SCENARIO 1 2 3 DATA'!B35," Therm")</f>
        <v>86 Therm</v>
      </c>
      <c r="D44" s="36" t="str">
        <f>CONCATENATE('SCENARIO 1 2 3 DATA'!C35," Therm")</f>
        <v>97 Therm</v>
      </c>
    </row>
    <row r="45" spans="1:7" ht="11.7" thickBot="1">
      <c r="A45" s="18"/>
      <c r="B45" s="33" t="s">
        <v>177</v>
      </c>
      <c r="C45" s="38" t="str">
        <f>CONCATENATE('SCENARIO 1 2 3 DATA'!B36," m3")</f>
        <v>218 m3</v>
      </c>
      <c r="D45" s="38" t="str">
        <f>CONCATENATE('SCENARIO 1 2 3 DATA'!C36," m3")</f>
        <v>244 m3</v>
      </c>
    </row>
    <row r="46" spans="1:7" ht="12" thickTop="1" thickBot="1">
      <c r="A46" s="40"/>
      <c r="B46" s="41"/>
      <c r="C46" s="42"/>
      <c r="D46" s="21"/>
    </row>
    <row r="47" spans="1:7" ht="11.7" thickTop="1">
      <c r="A47" s="43"/>
      <c r="B47" s="44"/>
      <c r="C47" s="45"/>
      <c r="D47" s="46"/>
      <c r="G47" s="47"/>
    </row>
    <row r="48" spans="1:7">
      <c r="A48" s="48"/>
      <c r="B48" s="49" t="s">
        <v>15</v>
      </c>
      <c r="C48" s="9"/>
      <c r="D48" s="50"/>
    </row>
    <row r="49" spans="1:4">
      <c r="A49" s="48"/>
      <c r="B49" s="49" t="s">
        <v>11</v>
      </c>
      <c r="C49" s="9"/>
      <c r="D49" s="50"/>
    </row>
    <row r="50" spans="1:4">
      <c r="A50" s="48"/>
      <c r="B50" s="49" t="s">
        <v>16</v>
      </c>
      <c r="C50" s="9"/>
      <c r="D50" s="50"/>
    </row>
    <row r="51" spans="1:4" ht="11.7" thickBot="1">
      <c r="A51" s="51"/>
      <c r="B51" s="21"/>
      <c r="C51" s="22"/>
      <c r="D51" s="52"/>
    </row>
    <row r="52" spans="1:4" ht="11.7" thickTop="1"/>
  </sheetData>
  <sheetProtection selectLockedCells="1"/>
  <dataConsolidate/>
  <dataValidations count="6">
    <dataValidation type="list" allowBlank="1" showInputMessage="1" showErrorMessage="1" sqref="C31" xr:uid="{00000000-0002-0000-0000-000000000000}">
      <formula1>metric_flow_rate</formula1>
    </dataValidation>
    <dataValidation type="list" allowBlank="1" showInputMessage="1" showErrorMessage="1" sqref="C29" xr:uid="{00000000-0002-0000-0000-000001000000}">
      <formula1>shower_time</formula1>
    </dataValidation>
    <dataValidation type="list" allowBlank="1" showInputMessage="1" showErrorMessage="1" sqref="C33" xr:uid="{00000000-0002-0000-0000-000002000000}">
      <formula1>tempunits</formula1>
    </dataValidation>
    <dataValidation type="list" allowBlank="1" showInputMessage="1" showErrorMessage="1" sqref="C30" xr:uid="{00000000-0002-0000-0000-000003000000}">
      <formula1>qty_showers</formula1>
    </dataValidation>
    <dataValidation type="list" allowBlank="1" showInputMessage="1" showErrorMessage="1" sqref="C28" xr:uid="{00000000-0002-0000-0000-000004000000}">
      <formula1>configurationa</formula1>
    </dataValidation>
    <dataValidation type="list" allowBlank="1" showInputMessage="1" showErrorMessage="1" sqref="C38:D38" xr:uid="{00000000-0002-0000-0000-000005000000}">
      <formula1>Model</formula1>
    </dataValidation>
  </dataValidations>
  <pageMargins left="0.7" right="0.7" top="0.75" bottom="0.75" header="0.3" footer="0.3"/>
  <pageSetup orientation="portrait" horizontalDpi="300" verticalDpi="300" r:id="rId1"/>
  <headerFooter>
    <oddFooter xml:space="preserve">&amp;L&amp;8EcoInnovation   |   Solutions for the future   |   www.ecoinnovation.ca    |   Toll free: 888-881-7693  |  info@ecoinnovation.ca              
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7"/>
  <sheetViews>
    <sheetView workbookViewId="0">
      <selection sqref="A1:XFD1048576"/>
    </sheetView>
  </sheetViews>
  <sheetFormatPr defaultColWidth="9" defaultRowHeight="10.5" customHeight="1"/>
  <cols>
    <col min="1" max="1" width="17" style="83" customWidth="1"/>
    <col min="2" max="2" width="19.26171875" style="83" bestFit="1" customWidth="1"/>
    <col min="3" max="3" width="16" style="83" customWidth="1"/>
    <col min="4" max="16384" width="9" style="83"/>
  </cols>
  <sheetData>
    <row r="1" spans="1:7" ht="10.5" customHeight="1">
      <c r="A1" s="80"/>
      <c r="B1" s="81">
        <v>1</v>
      </c>
      <c r="C1" s="82" t="s">
        <v>45</v>
      </c>
    </row>
    <row r="2" spans="1:7" ht="10.5" customHeight="1">
      <c r="A2" s="80" t="s">
        <v>30</v>
      </c>
      <c r="B2" s="84">
        <v>1</v>
      </c>
      <c r="C2" s="82" t="s">
        <v>2</v>
      </c>
    </row>
    <row r="3" spans="1:7" ht="10.5" customHeight="1">
      <c r="A3" s="80" t="s">
        <v>28</v>
      </c>
      <c r="B3" s="81">
        <f>IF(flow_rate_per_application="9.5 lpm (2.5 gpm)",95,IF(flow_rate_per_application="7.6 lpm (2.0 gpm)",76,IF(flow_rate_per_application="5.7 lpm (1.5 gpm)",57,FALSE)))</f>
        <v>95</v>
      </c>
      <c r="C3" s="82" t="s">
        <v>25</v>
      </c>
    </row>
    <row r="4" spans="1:7" ht="10.5" customHeight="1">
      <c r="A4" s="80" t="s">
        <v>29</v>
      </c>
      <c r="B4" s="81">
        <f>IF(B3=95,25,IF(B3=76,20,IF(B3=57,15)))</f>
        <v>25</v>
      </c>
      <c r="C4" s="82" t="s">
        <v>20</v>
      </c>
    </row>
    <row r="5" spans="1:7" ht="10.5" customHeight="1">
      <c r="A5" s="80"/>
      <c r="B5" s="84">
        <f>IF('SINGLE SHOWER'!selected_configurationa="1 Equal flow 100%",100%,IF('SINGLE SHOWER'!selected_configurationa="2 Hot water preheat 79%",79%,IF('SINGLE SHOWER'!selected_configurationa="3 Cold water preheat 89%",89%,FALSE)))</f>
        <v>1</v>
      </c>
      <c r="C5" s="82" t="s">
        <v>74</v>
      </c>
    </row>
    <row r="6" spans="1:7" ht="10.5" customHeight="1">
      <c r="A6" s="80" t="s">
        <v>30</v>
      </c>
      <c r="B6" s="84">
        <f>'SINGLE SHOWER'!heater_efficiencya</f>
        <v>0.96</v>
      </c>
      <c r="C6" s="82" t="s">
        <v>19</v>
      </c>
      <c r="G6" s="82"/>
    </row>
    <row r="7" spans="1:7" ht="10.5" customHeight="1">
      <c r="A7" s="80"/>
      <c r="B7" s="85">
        <f>'SINGLE SHOWER'!C29</f>
        <v>10</v>
      </c>
      <c r="C7" s="82" t="s">
        <v>23</v>
      </c>
      <c r="G7" s="82"/>
    </row>
    <row r="8" spans="1:7" ht="10.5" customHeight="1">
      <c r="A8" s="80"/>
      <c r="B8" s="86">
        <f>'SINGLE SHOWER'!shower_frequency</f>
        <v>4</v>
      </c>
      <c r="C8" s="82" t="s">
        <v>44</v>
      </c>
      <c r="G8" s="82"/>
    </row>
    <row r="9" spans="1:7" ht="10.5" customHeight="1">
      <c r="A9" s="80"/>
      <c r="B9" s="81">
        <f>IF(B3=95,0,IF(B3=76,29/1000,IF(B3=57,61/1000)))</f>
        <v>0</v>
      </c>
      <c r="C9" s="82" t="s">
        <v>87</v>
      </c>
      <c r="G9" s="82"/>
    </row>
    <row r="10" spans="1:7" ht="10.5" customHeight="1">
      <c r="G10" s="82"/>
    </row>
    <row r="11" spans="1:7" ht="10.5" customHeight="1">
      <c r="G11" s="82"/>
    </row>
    <row r="12" spans="1:7" ht="10.5" customHeight="1">
      <c r="G12" s="82"/>
    </row>
    <row r="13" spans="1:7" ht="10.5" customHeight="1">
      <c r="A13" s="80"/>
      <c r="B13" s="81" t="str">
        <f>'SINGLE SHOWER'!C33</f>
        <v>C°</v>
      </c>
      <c r="C13" s="82" t="s">
        <v>64</v>
      </c>
      <c r="G13" s="82"/>
    </row>
    <row r="14" spans="1:7" ht="10.5" customHeight="1">
      <c r="A14" s="80" t="s">
        <v>33</v>
      </c>
      <c r="B14" s="81">
        <f>IF(B13="C°",'SINGLE SHOWER'!C34,ROUND(('SINGLE SHOWER'!C34-32)*(5/9),0))</f>
        <v>39.5</v>
      </c>
      <c r="C14" s="82" t="s">
        <v>26</v>
      </c>
      <c r="G14" s="82"/>
    </row>
    <row r="15" spans="1:7" ht="10.5" customHeight="1">
      <c r="A15" s="80" t="s">
        <v>33</v>
      </c>
      <c r="B15" s="81">
        <f>IF(B13="C°",'SINGLE SHOWER'!C35,ROUND(('SINGLE SHOWER'!C35-32)*(5/9),1))</f>
        <v>13.2</v>
      </c>
      <c r="C15" s="82" t="s">
        <v>27</v>
      </c>
      <c r="G15" s="82"/>
    </row>
    <row r="16" spans="1:7" ht="10.5" customHeight="1">
      <c r="A16" s="80" t="s">
        <v>33</v>
      </c>
      <c r="B16" s="81">
        <f>(B14-B15)</f>
        <v>26.3</v>
      </c>
      <c r="C16" s="82" t="s">
        <v>35</v>
      </c>
      <c r="G16" s="82"/>
    </row>
    <row r="17" spans="1:7" ht="10.5" customHeight="1">
      <c r="A17" s="80"/>
      <c r="B17" s="81"/>
      <c r="C17" s="82"/>
      <c r="G17" s="82"/>
    </row>
    <row r="18" spans="1:7" ht="10.5" customHeight="1">
      <c r="A18" s="80"/>
      <c r="B18" s="81"/>
      <c r="C18" s="82"/>
      <c r="G18" s="82"/>
    </row>
    <row r="19" spans="1:7" ht="10.5" customHeight="1">
      <c r="A19" s="80" t="s">
        <v>37</v>
      </c>
      <c r="B19" s="81">
        <f>ROUND((B1*B7*B8*B2)/60,2)</f>
        <v>0.67</v>
      </c>
      <c r="C19" s="82" t="s">
        <v>46</v>
      </c>
      <c r="G19" s="82"/>
    </row>
    <row r="20" spans="1:7" ht="10.5" customHeight="1">
      <c r="A20" s="80" t="s">
        <v>37</v>
      </c>
      <c r="B20" s="81">
        <f>B19*365</f>
        <v>244.55</v>
      </c>
      <c r="C20" s="82" t="s">
        <v>48</v>
      </c>
    </row>
    <row r="21" spans="1:7" ht="10.5" customHeight="1">
      <c r="A21" s="80" t="s">
        <v>0</v>
      </c>
      <c r="B21" s="81">
        <f>ROUNDUP((((B3/60)*B16*(41855/10000))/B6),2)</f>
        <v>181.56</v>
      </c>
      <c r="C21" s="82" t="s">
        <v>36</v>
      </c>
    </row>
    <row r="22" spans="1:7" ht="10.5" customHeight="1">
      <c r="A22" s="80" t="s">
        <v>5</v>
      </c>
      <c r="B22" s="81">
        <f>ROUND((B21*B20),1)</f>
        <v>44400.5</v>
      </c>
      <c r="C22" s="82" t="s">
        <v>38</v>
      </c>
    </row>
    <row r="23" spans="1:7" ht="10.5" customHeight="1">
      <c r="A23" s="80"/>
      <c r="B23" s="82"/>
      <c r="C23" s="82"/>
      <c r="D23" s="82"/>
    </row>
    <row r="24" spans="1:7" ht="10.5" customHeight="1">
      <c r="A24" s="80"/>
      <c r="B24" s="82"/>
      <c r="C24" s="82"/>
      <c r="D24" s="82"/>
    </row>
    <row r="25" spans="1:7" ht="10.5" customHeight="1">
      <c r="A25" s="80"/>
      <c r="B25" s="87" t="s">
        <v>39</v>
      </c>
      <c r="C25" s="87" t="s">
        <v>40</v>
      </c>
      <c r="D25" s="82"/>
    </row>
    <row r="26" spans="1:7" ht="10.5" customHeight="1">
      <c r="A26" s="80" t="s">
        <v>42</v>
      </c>
      <c r="B26" s="81" t="str">
        <f>'SINGLE SHOWER'!C38</f>
        <v>TDH3480B Model eff. 51%</v>
      </c>
      <c r="C26" s="81" t="str">
        <f>'SINGLE SHOWER'!D38</f>
        <v>*TDH3620B* Model eff. 57.2%</v>
      </c>
      <c r="D26" s="82" t="s">
        <v>6</v>
      </c>
    </row>
    <row r="27" spans="1:7" ht="10.5" customHeight="1">
      <c r="A27" s="80"/>
      <c r="B27" s="81"/>
      <c r="C27" s="81"/>
      <c r="D27" s="82"/>
    </row>
    <row r="28" spans="1:7" ht="10.5" customHeight="1">
      <c r="A28" s="80" t="s">
        <v>30</v>
      </c>
      <c r="B28" s="88">
        <f>'SINGLE SHOWER'!C39</f>
        <v>0.51</v>
      </c>
      <c r="C28" s="88">
        <f>'SINGLE SHOWER'!D39</f>
        <v>0.57200000000000006</v>
      </c>
      <c r="D28" s="82" t="s">
        <v>65</v>
      </c>
    </row>
    <row r="29" spans="1:7" ht="10.5" customHeight="1">
      <c r="B29" s="88">
        <f>(B28+B9)</f>
        <v>0.51</v>
      </c>
      <c r="C29" s="88">
        <f>C28+B9</f>
        <v>0.57200000000000006</v>
      </c>
      <c r="D29" s="82" t="s">
        <v>86</v>
      </c>
    </row>
    <row r="30" spans="1:7" ht="10.5" customHeight="1">
      <c r="A30" s="80" t="s">
        <v>30</v>
      </c>
      <c r="B30" s="84">
        <f>B5</f>
        <v>1</v>
      </c>
      <c r="C30" s="89">
        <f>B5</f>
        <v>1</v>
      </c>
      <c r="D30" s="82" t="s">
        <v>66</v>
      </c>
    </row>
    <row r="31" spans="1:7" ht="10.5" customHeight="1">
      <c r="A31" s="80" t="s">
        <v>30</v>
      </c>
      <c r="B31" s="88">
        <f>ROUND((B30*B29),3)</f>
        <v>0.51</v>
      </c>
      <c r="C31" s="90">
        <f>ROUND((C30*C29),3)</f>
        <v>0.57199999999999995</v>
      </c>
      <c r="D31" s="82" t="s">
        <v>67</v>
      </c>
    </row>
    <row r="33" spans="1:4" ht="10.5" customHeight="1">
      <c r="A33" s="80" t="s">
        <v>5</v>
      </c>
      <c r="B33" s="81">
        <f>ROUND(((B22*B31)/10),0)</f>
        <v>2264</v>
      </c>
      <c r="C33" s="81">
        <f>ROUND(((C31*B22)/10),0)</f>
        <v>2540</v>
      </c>
      <c r="D33" s="82" t="s">
        <v>68</v>
      </c>
    </row>
    <row r="34" spans="1:4" ht="10.5" customHeight="1">
      <c r="A34" s="80" t="s">
        <v>17</v>
      </c>
      <c r="B34" s="91">
        <f>ROUND(B33*(3/1000),1)</f>
        <v>6.8</v>
      </c>
      <c r="C34" s="91">
        <f>ROUND(C33*(3/1000),1)</f>
        <v>7.6</v>
      </c>
      <c r="D34" s="82" t="s">
        <v>14</v>
      </c>
    </row>
    <row r="35" spans="1:4" ht="10.5" customHeight="1">
      <c r="A35" s="80" t="s">
        <v>12</v>
      </c>
      <c r="B35" s="92">
        <f>ROUND(B36*(396/1000),0)</f>
        <v>86</v>
      </c>
      <c r="C35" s="92">
        <f>ROUND(C36*(396/1000),0)</f>
        <v>97</v>
      </c>
      <c r="D35" s="82" t="s">
        <v>13</v>
      </c>
    </row>
    <row r="36" spans="1:4" ht="10.5" customHeight="1">
      <c r="A36" s="80" t="s">
        <v>41</v>
      </c>
      <c r="B36" s="92">
        <f>ROUND(B33*(962/10000),0)</f>
        <v>218</v>
      </c>
      <c r="C36" s="92">
        <f>ROUND(C33*962/10000,0)</f>
        <v>244</v>
      </c>
      <c r="D36" s="82" t="s">
        <v>10</v>
      </c>
    </row>
    <row r="37" spans="1:4" ht="10.5" customHeight="1">
      <c r="A37" s="80"/>
      <c r="B37" s="89">
        <f>B6</f>
        <v>0.96</v>
      </c>
      <c r="C37" s="89">
        <f>B37</f>
        <v>0.96</v>
      </c>
      <c r="D37" s="82" t="s">
        <v>43</v>
      </c>
    </row>
  </sheetData>
  <sheetProtection algorithmName="SHA-512" hashValue="ohsjaVUU1PEn6MTghBBFa6J5+8v3l+6sfENy+VX4AWVTHQgTFq8AwjG3FVh5TiUltysl+U/5nw415xbReAKHMQ==" saltValue="dKhbSPUfarubhXfeyM2Yfw==" spinCount="100000" sheet="1" selectLockedCells="1" selectUn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H51"/>
  <sheetViews>
    <sheetView showGridLines="0" showRuler="0" zoomScale="75" zoomScaleNormal="75" zoomScaleSheetLayoutView="100" workbookViewId="0">
      <selection activeCell="D37" sqref="D37"/>
    </sheetView>
  </sheetViews>
  <sheetFormatPr defaultColWidth="9" defaultRowHeight="11.4"/>
  <cols>
    <col min="1" max="1" width="2.578125" style="1" customWidth="1"/>
    <col min="2" max="2" width="45.578125" style="5" customWidth="1"/>
    <col min="3" max="3" width="25.578125" style="7" customWidth="1"/>
    <col min="4" max="4" width="25.578125" style="1" customWidth="1"/>
    <col min="5" max="5" width="3.578125" style="1" customWidth="1"/>
    <col min="6" max="6" width="1.41796875" style="1" hidden="1" customWidth="1"/>
    <col min="7" max="7" width="22.26171875" style="1" customWidth="1"/>
    <col min="8" max="8" width="10" style="1" customWidth="1"/>
    <col min="9" max="9" width="13.26171875" style="1" customWidth="1"/>
    <col min="10" max="10" width="14.578125" style="1" customWidth="1"/>
    <col min="11" max="16384" width="9" style="1"/>
  </cols>
  <sheetData>
    <row r="1" spans="2:8" ht="4.5" customHeight="1">
      <c r="B1" s="9"/>
      <c r="C1" s="1"/>
    </row>
    <row r="2" spans="2:8">
      <c r="B2" s="1"/>
      <c r="C2" s="1"/>
    </row>
    <row r="3" spans="2:8">
      <c r="B3" s="1"/>
      <c r="C3" s="1"/>
    </row>
    <row r="4" spans="2:8">
      <c r="B4" s="1"/>
      <c r="C4" s="1"/>
    </row>
    <row r="5" spans="2:8">
      <c r="B5" s="1"/>
      <c r="C5" s="1"/>
    </row>
    <row r="6" spans="2:8">
      <c r="B6" s="1"/>
      <c r="C6" s="1"/>
    </row>
    <row r="7" spans="2:8">
      <c r="B7" s="1"/>
      <c r="C7" s="1"/>
      <c r="E7" s="2"/>
      <c r="F7" s="3"/>
    </row>
    <row r="8" spans="2:8">
      <c r="B8" s="1"/>
      <c r="C8" s="1"/>
      <c r="E8" s="2"/>
      <c r="F8" s="3"/>
      <c r="G8" s="4"/>
      <c r="H8" s="5"/>
    </row>
    <row r="9" spans="2:8">
      <c r="B9" s="1"/>
      <c r="C9" s="1"/>
      <c r="G9" s="4"/>
      <c r="H9" s="5"/>
    </row>
    <row r="10" spans="2:8">
      <c r="B10" s="1"/>
      <c r="C10" s="1"/>
      <c r="G10" s="4"/>
      <c r="H10" s="5"/>
    </row>
    <row r="11" spans="2:8">
      <c r="B11" s="1"/>
      <c r="C11" s="1"/>
      <c r="G11" s="4"/>
      <c r="H11" s="5"/>
    </row>
    <row r="12" spans="2:8">
      <c r="B12" s="1"/>
      <c r="C12" s="1"/>
      <c r="G12" s="4"/>
      <c r="H12" s="5"/>
    </row>
    <row r="13" spans="2:8">
      <c r="B13" s="1"/>
      <c r="C13" s="1"/>
      <c r="G13" s="4"/>
      <c r="H13" s="5"/>
    </row>
    <row r="14" spans="2:8">
      <c r="B14" s="1"/>
      <c r="C14" s="1"/>
      <c r="E14" s="6"/>
      <c r="F14" s="7"/>
    </row>
    <row r="15" spans="2:8">
      <c r="B15" s="1"/>
      <c r="C15" s="1"/>
      <c r="E15" s="6"/>
      <c r="F15" s="7"/>
    </row>
    <row r="16" spans="2:8">
      <c r="B16" s="1"/>
      <c r="C16" s="1"/>
      <c r="E16" s="6"/>
      <c r="F16" s="7"/>
      <c r="H16" s="8"/>
    </row>
    <row r="17" spans="1:6">
      <c r="B17" s="1"/>
      <c r="C17" s="1"/>
      <c r="E17" s="6"/>
      <c r="F17" s="7"/>
    </row>
    <row r="18" spans="1:6">
      <c r="B18" s="1"/>
      <c r="C18" s="1"/>
      <c r="E18" s="6"/>
      <c r="F18" s="7"/>
    </row>
    <row r="19" spans="1:6">
      <c r="B19" s="1"/>
      <c r="C19" s="1"/>
    </row>
    <row r="20" spans="1:6">
      <c r="B20" s="1"/>
      <c r="C20" s="1"/>
    </row>
    <row r="21" spans="1:6" ht="25.5" customHeight="1">
      <c r="B21" s="1"/>
      <c r="C21" s="1"/>
    </row>
    <row r="25" spans="1:6" ht="11.7" thickBot="1"/>
    <row r="26" spans="1:6" ht="11.7" thickBot="1">
      <c r="A26" s="10"/>
      <c r="B26" s="11" t="s">
        <v>1</v>
      </c>
      <c r="C26" s="12"/>
    </row>
    <row r="27" spans="1:6" ht="11.7" thickTop="1">
      <c r="A27" s="13"/>
      <c r="B27" s="14" t="s">
        <v>69</v>
      </c>
      <c r="C27" s="74" t="s">
        <v>168</v>
      </c>
      <c r="E27" s="53"/>
    </row>
    <row r="28" spans="1:6">
      <c r="A28" s="15"/>
      <c r="B28" s="16" t="s">
        <v>23</v>
      </c>
      <c r="C28" s="70">
        <v>8</v>
      </c>
    </row>
    <row r="29" spans="1:6">
      <c r="A29" s="15"/>
      <c r="B29" s="16" t="s">
        <v>49</v>
      </c>
      <c r="C29" s="70">
        <v>3</v>
      </c>
    </row>
    <row r="30" spans="1:6">
      <c r="A30" s="15"/>
      <c r="B30" s="16" t="s">
        <v>50</v>
      </c>
      <c r="C30" s="70" t="s">
        <v>75</v>
      </c>
    </row>
    <row r="31" spans="1:6">
      <c r="A31" s="15"/>
      <c r="B31" s="16" t="s">
        <v>59</v>
      </c>
      <c r="C31" s="71">
        <v>0.61</v>
      </c>
    </row>
    <row r="32" spans="1:6">
      <c r="A32" s="15"/>
      <c r="B32" s="16" t="s">
        <v>31</v>
      </c>
      <c r="C32" s="70" t="s">
        <v>33</v>
      </c>
    </row>
    <row r="33" spans="1:4">
      <c r="A33" s="17"/>
      <c r="B33" s="16" t="str">
        <f>CONCATENATE("Temperature of drain water in ",C32)</f>
        <v>Temperature of drain water in C°</v>
      </c>
      <c r="C33" s="70">
        <v>38</v>
      </c>
    </row>
    <row r="34" spans="1:4" ht="11.7" thickBot="1">
      <c r="A34" s="18"/>
      <c r="B34" s="19" t="str">
        <f>CONCATENATE("Temperature of cold water in ",C32)</f>
        <v>Temperature of cold water in C°</v>
      </c>
      <c r="C34" s="72">
        <v>10</v>
      </c>
      <c r="D34" s="48"/>
    </row>
    <row r="35" spans="1:4" ht="12" thickTop="1" thickBot="1">
      <c r="A35" s="54"/>
      <c r="D35" s="20"/>
    </row>
    <row r="36" spans="1:4" ht="12" thickTop="1" thickBot="1">
      <c r="A36" s="23"/>
      <c r="B36" s="24" t="s">
        <v>53</v>
      </c>
      <c r="C36" s="25" t="s">
        <v>7</v>
      </c>
      <c r="D36" s="26" t="s">
        <v>8</v>
      </c>
    </row>
    <row r="37" spans="1:4" ht="11.7" thickTop="1">
      <c r="A37" s="13"/>
      <c r="B37" s="27" t="s">
        <v>53</v>
      </c>
      <c r="C37" s="73" t="s">
        <v>198</v>
      </c>
      <c r="D37" s="74" t="s">
        <v>200</v>
      </c>
    </row>
    <row r="38" spans="1:4">
      <c r="A38" s="17"/>
      <c r="B38" s="29" t="s">
        <v>51</v>
      </c>
      <c r="C38" s="30">
        <f>VLOOKUP(C37,'Drop Down Menus'!E15:F75,2,FALSE)/1000</f>
        <v>0.42100000000000004</v>
      </c>
      <c r="D38" s="59">
        <f>VLOOKUP(D37,'Drop Down Menus'!E15:F75,2,FALSE)/1000</f>
        <v>0.57200000000000006</v>
      </c>
    </row>
    <row r="39" spans="1:4" ht="11.7" thickBot="1">
      <c r="A39" s="18"/>
      <c r="B39" s="55" t="s">
        <v>52</v>
      </c>
      <c r="C39" s="75">
        <f>'SCENARIO 4 5 6 DATA'!B32</f>
        <v>0.432</v>
      </c>
      <c r="D39" s="76">
        <f>'SCENARIO 4 5 6 DATA'!C32</f>
        <v>0.57699999999999996</v>
      </c>
    </row>
    <row r="40" spans="1:4" ht="12" thickTop="1" thickBot="1">
      <c r="A40" s="23"/>
      <c r="B40" s="24" t="s">
        <v>3</v>
      </c>
      <c r="C40" s="56"/>
      <c r="D40" s="57"/>
    </row>
    <row r="41" spans="1:4" ht="11.7" thickTop="1">
      <c r="A41" s="17"/>
      <c r="B41" s="27" t="s">
        <v>4</v>
      </c>
      <c r="C41" s="58" t="str">
        <f>CONCATENATE('SCENARIO 4 5 6 DATA'!B34," kWh")</f>
        <v>1535 kWh</v>
      </c>
      <c r="D41" s="60" t="str">
        <f>CONCATENATE('SCENARIO 4 5 6 DATA'!C34," kWh")</f>
        <v>2050 kWh</v>
      </c>
    </row>
    <row r="42" spans="1:4">
      <c r="A42" s="17"/>
      <c r="B42" s="29" t="s">
        <v>14</v>
      </c>
      <c r="C42" s="36" t="str">
        <f>CONCATENATE('SCENARIO 4 5 6 DATA'!B35," GJ")</f>
        <v>4.6 GJ</v>
      </c>
      <c r="D42" s="63" t="str">
        <f>CONCATENATE('SCENARIO 4 5 6 DATA'!C35," GJ")</f>
        <v>6.2 GJ</v>
      </c>
    </row>
    <row r="43" spans="1:4">
      <c r="A43" s="17"/>
      <c r="B43" s="29" t="s">
        <v>13</v>
      </c>
      <c r="C43" s="36" t="str">
        <f>CONCATENATE('SCENARIO 4 5 6 DATA'!B36," Therm")</f>
        <v>59 Therm</v>
      </c>
      <c r="D43" s="37" t="str">
        <f>CONCATENATE('SCENARIO 4 5 6 DATA'!C36," Therm")</f>
        <v>78 Therm</v>
      </c>
    </row>
    <row r="44" spans="1:4" ht="11.7" thickBot="1">
      <c r="A44" s="18"/>
      <c r="B44" s="33" t="s">
        <v>177</v>
      </c>
      <c r="C44" s="38" t="str">
        <f>CONCATENATE('SCENARIO 4 5 6 DATA'!B37," m3")</f>
        <v>148 m3</v>
      </c>
      <c r="D44" s="39" t="str">
        <f>CONCATENATE('SCENARIO 4 5 6 DATA'!C37," m3")</f>
        <v>197 m3</v>
      </c>
    </row>
    <row r="45" spans="1:4" ht="12" thickTop="1" thickBot="1">
      <c r="A45" s="40"/>
      <c r="B45" s="41"/>
      <c r="C45" s="42"/>
      <c r="D45" s="21"/>
    </row>
    <row r="46" spans="1:4" ht="11.7" thickTop="1">
      <c r="A46" s="43"/>
      <c r="B46" s="44"/>
      <c r="C46" s="45"/>
      <c r="D46" s="46"/>
    </row>
    <row r="47" spans="1:4">
      <c r="A47" s="48"/>
      <c r="B47" s="49" t="s">
        <v>15</v>
      </c>
      <c r="C47" s="9"/>
      <c r="D47" s="50"/>
    </row>
    <row r="48" spans="1:4">
      <c r="A48" s="48"/>
      <c r="B48" s="49" t="s">
        <v>11</v>
      </c>
      <c r="C48" s="9"/>
      <c r="D48" s="50"/>
    </row>
    <row r="49" spans="1:7">
      <c r="A49" s="48"/>
      <c r="B49" s="49" t="s">
        <v>16</v>
      </c>
      <c r="C49" s="9"/>
      <c r="D49" s="50"/>
      <c r="G49" s="47"/>
    </row>
    <row r="50" spans="1:7" ht="11.7" thickBot="1">
      <c r="A50" s="51"/>
      <c r="B50" s="21"/>
      <c r="C50" s="22"/>
      <c r="D50" s="52"/>
    </row>
    <row r="51" spans="1:7" ht="11.7" thickTop="1"/>
  </sheetData>
  <sheetProtection selectLockedCells="1" selectUnlockedCells="1"/>
  <dataConsolidate/>
  <dataValidations count="6">
    <dataValidation type="list" allowBlank="1" showInputMessage="1" showErrorMessage="1" sqref="C37:D37" xr:uid="{00000000-0002-0000-0200-000000000000}">
      <formula1>Model</formula1>
    </dataValidation>
    <dataValidation type="list" allowBlank="1" showInputMessage="1" showErrorMessage="1" sqref="C27" xr:uid="{00000000-0002-0000-0200-000001000000}">
      <formula1>configurationb</formula1>
    </dataValidation>
    <dataValidation type="list" allowBlank="1" showInputMessage="1" showErrorMessage="1" sqref="C29" xr:uid="{00000000-0002-0000-0200-000002000000}">
      <formula1>qty_showers</formula1>
    </dataValidation>
    <dataValidation type="list" allowBlank="1" showInputMessage="1" showErrorMessage="1" sqref="C32" xr:uid="{00000000-0002-0000-0200-000003000000}">
      <formula1>tempunits</formula1>
    </dataValidation>
    <dataValidation type="list" allowBlank="1" showInputMessage="1" showErrorMessage="1" sqref="C28" xr:uid="{00000000-0002-0000-0200-000004000000}">
      <formula1>shower_time</formula1>
    </dataValidation>
    <dataValidation type="list" allowBlank="1" showInputMessage="1" showErrorMessage="1" sqref="C30" xr:uid="{00000000-0002-0000-0200-000005000000}">
      <formula1>metric_flow_rate</formula1>
    </dataValidation>
  </dataValidations>
  <pageMargins left="0.7" right="0.7" top="0.75" bottom="0.75" header="0.3" footer="0.3"/>
  <pageSetup orientation="portrait" horizontalDpi="300" verticalDpi="300" r:id="rId1"/>
  <headerFooter>
    <oddFooter xml:space="preserve">&amp;L&amp;8EcoInnovation   |   Solutions for the future   |   www.ecoinnovation.ca    |   Toll free: 888-881-7693  |  info@ecoinnovation.ca              
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8"/>
  <sheetViews>
    <sheetView workbookViewId="0">
      <selection sqref="A1:XFD1048576"/>
    </sheetView>
  </sheetViews>
  <sheetFormatPr defaultColWidth="9" defaultRowHeight="10.5" customHeight="1"/>
  <cols>
    <col min="1" max="1" width="17" style="83" customWidth="1"/>
    <col min="2" max="2" width="19.26171875" style="83" bestFit="1" customWidth="1"/>
    <col min="3" max="3" width="16" style="83" customWidth="1"/>
    <col min="4" max="16384" width="9" style="83"/>
  </cols>
  <sheetData>
    <row r="1" spans="1:13" ht="10.5" customHeight="1">
      <c r="A1" s="80"/>
      <c r="B1" s="81">
        <v>1</v>
      </c>
      <c r="C1" s="82" t="s">
        <v>45</v>
      </c>
      <c r="D1" s="82"/>
    </row>
    <row r="2" spans="1:13" ht="10.5" customHeight="1">
      <c r="A2" s="80" t="s">
        <v>30</v>
      </c>
      <c r="B2" s="84">
        <v>1</v>
      </c>
      <c r="C2" s="82" t="s">
        <v>2</v>
      </c>
      <c r="D2" s="82"/>
      <c r="J2" s="80"/>
      <c r="K2" s="84"/>
      <c r="L2" s="82"/>
      <c r="M2" s="82"/>
    </row>
    <row r="3" spans="1:13" ht="10.5" customHeight="1">
      <c r="A3" s="80" t="s">
        <v>28</v>
      </c>
      <c r="B3" s="81">
        <f>IF('DUAL SHOWER'!flow_rate_per_applicationa="9.5 lpm (2.5 gpm)",95,IF('DUAL SHOWER'!flow_rate_per_applicationa="7.6 lpm (2.0 gpm)",76,IF('DUAL SHOWER'!flow_rate_per_applicationa="5.7 lpm (1.5 gpm)",57,FALSE)))</f>
        <v>76</v>
      </c>
      <c r="C3" s="82" t="s">
        <v>25</v>
      </c>
      <c r="D3" s="82"/>
      <c r="J3" s="80"/>
      <c r="K3" s="81"/>
      <c r="L3" s="82"/>
      <c r="M3" s="82"/>
    </row>
    <row r="4" spans="1:13" ht="10.5" customHeight="1">
      <c r="A4" s="80" t="s">
        <v>29</v>
      </c>
      <c r="B4" s="81">
        <f>IF(B3=95,25,IF(B3=76,20,IF(B3=57,15)))</f>
        <v>20</v>
      </c>
      <c r="C4" s="82" t="s">
        <v>20</v>
      </c>
      <c r="D4" s="82"/>
      <c r="J4" s="80"/>
      <c r="K4" s="81"/>
      <c r="L4" s="82"/>
      <c r="M4" s="82"/>
    </row>
    <row r="5" spans="1:13" ht="10.5" customHeight="1">
      <c r="A5" s="80"/>
      <c r="B5" s="84">
        <f>VALUE(RIGHT('DUAL SHOWER'!selected_configurationb,4))</f>
        <v>0.96</v>
      </c>
      <c r="C5" s="82" t="s">
        <v>153</v>
      </c>
      <c r="D5" s="82"/>
      <c r="J5" s="80"/>
      <c r="K5" s="84"/>
      <c r="L5" s="82"/>
      <c r="M5" s="82"/>
    </row>
    <row r="6" spans="1:13" ht="10.5" customHeight="1">
      <c r="A6" s="80" t="s">
        <v>30</v>
      </c>
      <c r="B6" s="84">
        <f>'DUAL SHOWER'!heater_efficiencya</f>
        <v>0.61</v>
      </c>
      <c r="C6" s="82" t="s">
        <v>19</v>
      </c>
      <c r="D6" s="82"/>
      <c r="H6" s="82"/>
      <c r="J6" s="80"/>
      <c r="K6" s="84"/>
      <c r="L6" s="82"/>
      <c r="M6" s="82"/>
    </row>
    <row r="7" spans="1:13" ht="10.5" customHeight="1">
      <c r="A7" s="80"/>
      <c r="B7" s="86">
        <f>'DUAL SHOWER'!time_per_unit</f>
        <v>8</v>
      </c>
      <c r="C7" s="82" t="s">
        <v>23</v>
      </c>
      <c r="D7" s="82"/>
      <c r="H7" s="82"/>
      <c r="J7" s="80"/>
      <c r="K7" s="86"/>
      <c r="L7" s="82"/>
      <c r="M7" s="82"/>
    </row>
    <row r="8" spans="1:13" ht="10.5" customHeight="1">
      <c r="A8" s="80"/>
      <c r="B8" s="86">
        <f>'DUAL SHOWER'!shower_frequency</f>
        <v>3</v>
      </c>
      <c r="C8" s="82" t="s">
        <v>44</v>
      </c>
      <c r="D8" s="82"/>
      <c r="H8" s="82"/>
      <c r="J8" s="80"/>
      <c r="K8" s="86"/>
      <c r="L8" s="82"/>
      <c r="M8" s="82"/>
    </row>
    <row r="9" spans="1:13" ht="10.5" customHeight="1">
      <c r="A9" s="80"/>
      <c r="B9" s="81">
        <f>IF(B3=95,0,IF(B3=76,29/1000,IF(B3=57,61/1000)))</f>
        <v>2.9000000000000001E-2</v>
      </c>
      <c r="C9" s="82" t="s">
        <v>87</v>
      </c>
      <c r="D9" s="82"/>
      <c r="H9" s="82"/>
      <c r="J9" s="80"/>
      <c r="K9" s="81"/>
      <c r="L9" s="82"/>
      <c r="M9" s="82"/>
    </row>
    <row r="10" spans="1:13" ht="10.5" customHeight="1">
      <c r="H10" s="82"/>
    </row>
    <row r="11" spans="1:13" ht="10.5" customHeight="1">
      <c r="H11" s="82"/>
    </row>
    <row r="12" spans="1:13" ht="10.5" customHeight="1">
      <c r="H12" s="82"/>
    </row>
    <row r="13" spans="1:13" ht="10.5" customHeight="1">
      <c r="D13" s="82"/>
      <c r="H13" s="82"/>
      <c r="J13" s="80"/>
      <c r="K13" s="81"/>
      <c r="L13" s="82"/>
      <c r="M13" s="82"/>
    </row>
    <row r="14" spans="1:13" ht="10.5" customHeight="1">
      <c r="A14" s="80"/>
      <c r="B14" s="81" t="str">
        <f>'DUAL SHOWER'!C32</f>
        <v>C°</v>
      </c>
      <c r="C14" s="82" t="s">
        <v>64</v>
      </c>
      <c r="D14" s="82"/>
      <c r="H14" s="82"/>
      <c r="J14" s="80"/>
      <c r="K14" s="81"/>
      <c r="L14" s="82"/>
      <c r="M14" s="82"/>
    </row>
    <row r="15" spans="1:13" ht="10.5" customHeight="1">
      <c r="A15" s="80" t="s">
        <v>33</v>
      </c>
      <c r="B15" s="91">
        <f>IF(B14="C°",'DUAL SHOWER'!C33,ROUND(('DUAL SHOWER'!C33-32)*(5/9),1))</f>
        <v>38</v>
      </c>
      <c r="C15" s="82" t="s">
        <v>26</v>
      </c>
      <c r="D15" s="82"/>
      <c r="H15" s="82"/>
      <c r="J15" s="80"/>
      <c r="K15" s="81"/>
      <c r="L15" s="82"/>
      <c r="M15" s="82"/>
    </row>
    <row r="16" spans="1:13" ht="10.5" customHeight="1">
      <c r="A16" s="80" t="s">
        <v>33</v>
      </c>
      <c r="B16" s="91">
        <f>IF(B14="C°",'DUAL SHOWER'!C34,ROUND(('SINGLE SHOWER'!C35-32)*(5/9),1))</f>
        <v>10</v>
      </c>
      <c r="C16" s="82" t="s">
        <v>27</v>
      </c>
      <c r="D16" s="82"/>
      <c r="H16" s="82"/>
      <c r="J16" s="80"/>
      <c r="K16" s="81"/>
      <c r="L16" s="82"/>
      <c r="M16" s="82"/>
    </row>
    <row r="17" spans="1:13" ht="10.5" customHeight="1">
      <c r="A17" s="80" t="s">
        <v>33</v>
      </c>
      <c r="B17" s="91">
        <f>(B15-B16)</f>
        <v>28</v>
      </c>
      <c r="C17" s="82" t="s">
        <v>35</v>
      </c>
      <c r="D17" s="82"/>
      <c r="H17" s="82"/>
      <c r="J17" s="80"/>
      <c r="K17" s="81"/>
      <c r="L17" s="82"/>
      <c r="M17" s="82"/>
    </row>
    <row r="18" spans="1:13" ht="10.5" customHeight="1">
      <c r="A18" s="80"/>
      <c r="B18" s="81"/>
      <c r="C18" s="82"/>
      <c r="D18" s="82"/>
      <c r="H18" s="82"/>
      <c r="J18" s="80"/>
      <c r="K18" s="81"/>
      <c r="L18" s="82"/>
      <c r="M18" s="82"/>
    </row>
    <row r="19" spans="1:13" ht="10.5" customHeight="1">
      <c r="H19" s="82"/>
      <c r="J19" s="80"/>
      <c r="K19" s="81"/>
      <c r="L19" s="82"/>
      <c r="M19" s="82"/>
    </row>
    <row r="20" spans="1:13" ht="10.5" customHeight="1">
      <c r="A20" s="80" t="s">
        <v>37</v>
      </c>
      <c r="B20" s="81">
        <f>ROUND((B1*B7*B8*B2)/60,2)</f>
        <v>0.4</v>
      </c>
      <c r="C20" s="82" t="s">
        <v>46</v>
      </c>
      <c r="D20" s="82"/>
      <c r="J20" s="80"/>
      <c r="K20" s="81"/>
      <c r="L20" s="82"/>
      <c r="M20" s="82"/>
    </row>
    <row r="21" spans="1:13" ht="10.5" customHeight="1">
      <c r="A21" s="80" t="s">
        <v>37</v>
      </c>
      <c r="B21" s="81">
        <f>B20*365</f>
        <v>146</v>
      </c>
      <c r="C21" s="82" t="s">
        <v>48</v>
      </c>
      <c r="D21" s="82"/>
      <c r="J21" s="80"/>
      <c r="K21" s="81"/>
      <c r="L21" s="82"/>
      <c r="M21" s="82"/>
    </row>
    <row r="22" spans="1:13" ht="10.5" customHeight="1">
      <c r="A22" s="80" t="s">
        <v>0</v>
      </c>
      <c r="B22" s="81">
        <f>ROUNDUP((((B3/60)*B17*(41855/10000))/B6),2)</f>
        <v>243.35999999999999</v>
      </c>
      <c r="C22" s="82" t="s">
        <v>36</v>
      </c>
      <c r="D22" s="82"/>
      <c r="J22" s="80"/>
      <c r="K22" s="81"/>
      <c r="L22" s="82"/>
      <c r="M22" s="82"/>
    </row>
    <row r="23" spans="1:13" ht="10.5" customHeight="1">
      <c r="A23" s="80" t="s">
        <v>5</v>
      </c>
      <c r="B23" s="81">
        <f>ROUND((B22*B21),1)</f>
        <v>35530.6</v>
      </c>
      <c r="C23" s="82" t="s">
        <v>38</v>
      </c>
      <c r="D23" s="82"/>
      <c r="J23" s="80"/>
      <c r="K23" s="82"/>
      <c r="L23" s="82"/>
      <c r="M23" s="82"/>
    </row>
    <row r="24" spans="1:13" ht="10.5" customHeight="1">
      <c r="A24" s="80"/>
      <c r="B24" s="82"/>
      <c r="C24" s="82"/>
      <c r="D24" s="82"/>
      <c r="J24" s="80"/>
      <c r="K24" s="82"/>
      <c r="L24" s="82"/>
      <c r="M24" s="82"/>
    </row>
    <row r="25" spans="1:13" ht="10.5" customHeight="1">
      <c r="A25" s="80"/>
      <c r="B25" s="82"/>
      <c r="C25" s="82"/>
      <c r="D25" s="82"/>
      <c r="J25" s="80"/>
      <c r="K25" s="87"/>
      <c r="L25" s="87"/>
      <c r="M25" s="82"/>
    </row>
    <row r="26" spans="1:13" ht="10.5" customHeight="1">
      <c r="A26" s="80"/>
      <c r="B26" s="87" t="s">
        <v>39</v>
      </c>
      <c r="C26" s="87" t="s">
        <v>40</v>
      </c>
      <c r="D26" s="82"/>
      <c r="J26" s="80"/>
      <c r="K26" s="81"/>
      <c r="L26" s="81"/>
      <c r="M26" s="82"/>
    </row>
    <row r="27" spans="1:13" ht="10.5" customHeight="1">
      <c r="A27" s="80" t="s">
        <v>42</v>
      </c>
      <c r="B27" s="81" t="str">
        <f>'DUAL SHOWER'!C37</f>
        <v>*TDH3335B* Model eff. 42.1%</v>
      </c>
      <c r="C27" s="81" t="str">
        <f>'DUAL SHOWER'!D37</f>
        <v>*TDH3620B* Model eff. 57.2%</v>
      </c>
      <c r="D27" s="82" t="s">
        <v>6</v>
      </c>
      <c r="J27" s="80"/>
      <c r="K27" s="81"/>
      <c r="L27" s="81"/>
      <c r="M27" s="82"/>
    </row>
    <row r="28" spans="1:13" ht="10.5" customHeight="1">
      <c r="A28" s="80"/>
      <c r="B28" s="81"/>
      <c r="C28" s="81"/>
      <c r="D28" s="82"/>
      <c r="J28" s="80"/>
      <c r="K28" s="88"/>
      <c r="L28" s="88"/>
      <c r="M28" s="82"/>
    </row>
    <row r="29" spans="1:13" ht="10.5" customHeight="1">
      <c r="A29" s="80" t="s">
        <v>30</v>
      </c>
      <c r="B29" s="88">
        <f>'DUAL SHOWER'!C38</f>
        <v>0.42100000000000004</v>
      </c>
      <c r="C29" s="88">
        <f>'DUAL SHOWER'!D38</f>
        <v>0.57200000000000006</v>
      </c>
      <c r="D29" s="82" t="s">
        <v>65</v>
      </c>
      <c r="K29" s="88"/>
      <c r="L29" s="88"/>
      <c r="M29" s="82"/>
    </row>
    <row r="30" spans="1:13" ht="10.5" customHeight="1">
      <c r="B30" s="88">
        <f>B29+B9</f>
        <v>0.45000000000000007</v>
      </c>
      <c r="C30" s="88">
        <f>C29+B9</f>
        <v>0.60100000000000009</v>
      </c>
      <c r="D30" s="82" t="s">
        <v>86</v>
      </c>
      <c r="J30" s="80"/>
      <c r="K30" s="84"/>
      <c r="L30" s="89"/>
      <c r="M30" s="82"/>
    </row>
    <row r="31" spans="1:13" ht="10.5" customHeight="1">
      <c r="A31" s="80" t="s">
        <v>30</v>
      </c>
      <c r="B31" s="84">
        <f>B5</f>
        <v>0.96</v>
      </c>
      <c r="C31" s="89">
        <f>B5</f>
        <v>0.96</v>
      </c>
      <c r="D31" s="82" t="s">
        <v>66</v>
      </c>
      <c r="J31" s="80"/>
      <c r="K31" s="88"/>
      <c r="L31" s="90"/>
      <c r="M31" s="82"/>
    </row>
    <row r="32" spans="1:13" ht="10.5" customHeight="1">
      <c r="A32" s="80" t="s">
        <v>30</v>
      </c>
      <c r="B32" s="88">
        <f>ROUND((B31*B30),3)</f>
        <v>0.432</v>
      </c>
      <c r="C32" s="90">
        <f>ROUND((C31*C30),3)</f>
        <v>0.57699999999999996</v>
      </c>
      <c r="D32" s="82" t="s">
        <v>67</v>
      </c>
    </row>
    <row r="33" spans="1:13" ht="10.5" customHeight="1">
      <c r="J33" s="80"/>
      <c r="K33" s="81"/>
      <c r="L33" s="81"/>
      <c r="M33" s="82"/>
    </row>
    <row r="34" spans="1:13" ht="10.5" customHeight="1">
      <c r="A34" s="80" t="s">
        <v>5</v>
      </c>
      <c r="B34" s="81">
        <f>ROUND(((B23*B32)/10),0)</f>
        <v>1535</v>
      </c>
      <c r="C34" s="81">
        <f>ROUND(((C32*B23)/10),0)</f>
        <v>2050</v>
      </c>
      <c r="D34" s="82" t="s">
        <v>68</v>
      </c>
      <c r="J34" s="80"/>
      <c r="K34" s="92"/>
      <c r="L34" s="92"/>
      <c r="M34" s="82"/>
    </row>
    <row r="35" spans="1:13" ht="10.5" customHeight="1">
      <c r="A35" s="80" t="s">
        <v>17</v>
      </c>
      <c r="B35" s="91">
        <f>ROUND(B34*(3/1000),1)</f>
        <v>4.5999999999999996</v>
      </c>
      <c r="C35" s="91">
        <f>ROUND(C34*(3/1000),1)</f>
        <v>6.2</v>
      </c>
      <c r="D35" s="82" t="s">
        <v>14</v>
      </c>
      <c r="J35" s="80"/>
      <c r="K35" s="92"/>
      <c r="L35" s="92"/>
      <c r="M35" s="82"/>
    </row>
    <row r="36" spans="1:13" ht="10.5" customHeight="1">
      <c r="A36" s="80" t="s">
        <v>12</v>
      </c>
      <c r="B36" s="92">
        <f>ROUND(B37*(396/1000),0)</f>
        <v>59</v>
      </c>
      <c r="C36" s="92">
        <f>ROUND(C37*(396/1000),0)</f>
        <v>78</v>
      </c>
      <c r="D36" s="82" t="s">
        <v>13</v>
      </c>
      <c r="J36" s="80"/>
      <c r="K36" s="92"/>
      <c r="L36" s="92"/>
      <c r="M36" s="82"/>
    </row>
    <row r="37" spans="1:13" ht="10.5" customHeight="1">
      <c r="A37" s="80" t="s">
        <v>41</v>
      </c>
      <c r="B37" s="92">
        <f>ROUND(B34*(962/10000),0)</f>
        <v>148</v>
      </c>
      <c r="C37" s="92">
        <f>ROUND(C34*962/10000,0)</f>
        <v>197</v>
      </c>
      <c r="D37" s="82" t="s">
        <v>10</v>
      </c>
      <c r="J37" s="80"/>
      <c r="K37" s="89"/>
      <c r="L37" s="89"/>
      <c r="M37" s="82"/>
    </row>
    <row r="38" spans="1:13" ht="10.5" customHeight="1">
      <c r="A38" s="80"/>
      <c r="B38" s="89">
        <f>B6</f>
        <v>0.61</v>
      </c>
      <c r="C38" s="89">
        <f>B38</f>
        <v>0.61</v>
      </c>
      <c r="D38" s="82" t="s">
        <v>43</v>
      </c>
    </row>
  </sheetData>
  <sheetProtection algorithmName="SHA-512" hashValue="dgrJz9dkTbFrXeozC9cPobgRH7B69AAWkg9D0dh9UwgGP1ykheMEHmGuKzMj+Udd/QqvCJUglxw9d93XMfSLVg==" saltValue="7CSsfcIDZJ/lMQtyNXkRNg==" spinCount="100000" sheet="1" selectLockedCells="1" selectUnlockedCell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G76"/>
  <sheetViews>
    <sheetView showGridLines="0" tabSelected="1" showRuler="0" topLeftCell="A44" zoomScale="75" zoomScaleNormal="75" zoomScaleSheetLayoutView="100" workbookViewId="0">
      <selection activeCell="G70" sqref="G70"/>
    </sheetView>
  </sheetViews>
  <sheetFormatPr defaultColWidth="9" defaultRowHeight="11.4"/>
  <cols>
    <col min="1" max="1" width="2.578125" style="1" customWidth="1"/>
    <col min="2" max="2" width="45.578125" style="5" customWidth="1"/>
    <col min="3" max="3" width="30.41796875" style="7" customWidth="1"/>
    <col min="4" max="4" width="25.578125" style="1" customWidth="1"/>
    <col min="5" max="5" width="3.578125" style="1" customWidth="1"/>
    <col min="6" max="6" width="1.41796875" style="1" hidden="1" customWidth="1"/>
    <col min="7" max="7" width="22.26171875" style="1" customWidth="1"/>
    <col min="8" max="8" width="10" style="1" customWidth="1"/>
    <col min="9" max="9" width="13.26171875" style="1" customWidth="1"/>
    <col min="10" max="10" width="14.578125" style="1" customWidth="1"/>
    <col min="11" max="16384" width="9" style="1"/>
  </cols>
  <sheetData>
    <row r="1" s="1" customForma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pans="2:7">
      <c r="B17" s="1"/>
      <c r="C17" s="1"/>
    </row>
    <row r="18" spans="2:7">
      <c r="B18" s="1"/>
      <c r="C18" s="1"/>
    </row>
    <row r="19" spans="2:7">
      <c r="B19" s="1"/>
      <c r="C19" s="1"/>
    </row>
    <row r="20" spans="2:7">
      <c r="B20" s="1"/>
      <c r="C20" s="1"/>
    </row>
    <row r="21" spans="2:7">
      <c r="B21" s="1"/>
      <c r="C21" s="1"/>
    </row>
    <row r="22" spans="2:7">
      <c r="B22" s="1"/>
      <c r="C22" s="1"/>
    </row>
    <row r="23" spans="2:7">
      <c r="B23" s="1"/>
      <c r="C23" s="1"/>
    </row>
    <row r="24" spans="2:7">
      <c r="B24" s="1"/>
      <c r="C24" s="1"/>
      <c r="G24" s="47"/>
    </row>
    <row r="25" spans="2:7">
      <c r="B25" s="1"/>
      <c r="C25" s="1"/>
    </row>
    <row r="26" spans="2:7">
      <c r="B26" s="1"/>
      <c r="C26" s="1"/>
    </row>
    <row r="27" spans="2:7">
      <c r="B27" s="1"/>
      <c r="C27" s="1"/>
    </row>
    <row r="28" spans="2:7">
      <c r="B28" s="1"/>
      <c r="C28" s="1"/>
    </row>
    <row r="29" spans="2:7">
      <c r="B29" s="1"/>
      <c r="C29" s="1"/>
    </row>
    <row r="30" spans="2:7">
      <c r="B30" s="1"/>
      <c r="C30" s="1"/>
    </row>
    <row r="31" spans="2:7">
      <c r="B31" s="1"/>
      <c r="C31" s="1"/>
    </row>
    <row r="32" spans="2:7">
      <c r="B32" s="1"/>
      <c r="C32" s="1"/>
    </row>
    <row r="33" spans="2:3">
      <c r="B33" s="1"/>
      <c r="C33" s="1"/>
    </row>
    <row r="34" spans="2:3">
      <c r="B34" s="1"/>
      <c r="C34" s="1"/>
    </row>
    <row r="35" spans="2:3">
      <c r="B35" s="1"/>
      <c r="C35" s="1"/>
    </row>
    <row r="36" spans="2:3">
      <c r="B36" s="1"/>
      <c r="C36" s="1"/>
    </row>
    <row r="37" spans="2:3" ht="55.9" customHeight="1"/>
    <row r="43" spans="2:3" ht="38.25" customHeight="1"/>
    <row r="50" spans="1:4" ht="11.7" thickBot="1">
      <c r="B50" s="66" t="s">
        <v>192</v>
      </c>
    </row>
    <row r="51" spans="1:4" ht="11.7" thickBot="1">
      <c r="A51" s="10"/>
      <c r="B51" s="11" t="s">
        <v>1</v>
      </c>
      <c r="C51" s="12"/>
    </row>
    <row r="52" spans="1:4" ht="11.7" thickTop="1">
      <c r="A52" s="13"/>
      <c r="B52" s="14" t="s">
        <v>154</v>
      </c>
      <c r="C52" s="69" t="s">
        <v>194</v>
      </c>
    </row>
    <row r="53" spans="1:4">
      <c r="A53" s="15"/>
      <c r="B53" s="16" t="s">
        <v>169</v>
      </c>
      <c r="C53" s="70">
        <v>6</v>
      </c>
    </row>
    <row r="54" spans="1:4">
      <c r="A54" s="15"/>
      <c r="B54" s="16" t="s">
        <v>23</v>
      </c>
      <c r="C54" s="70">
        <v>8</v>
      </c>
    </row>
    <row r="55" spans="1:4">
      <c r="A55" s="15"/>
      <c r="B55" s="16" t="s">
        <v>89</v>
      </c>
      <c r="C55" s="70">
        <v>3</v>
      </c>
    </row>
    <row r="56" spans="1:4">
      <c r="A56" s="15"/>
      <c r="B56" s="16" t="s">
        <v>50</v>
      </c>
      <c r="C56" s="70" t="s">
        <v>75</v>
      </c>
    </row>
    <row r="57" spans="1:4">
      <c r="A57" s="15"/>
      <c r="B57" s="16" t="s">
        <v>59</v>
      </c>
      <c r="C57" s="71">
        <v>0.8</v>
      </c>
    </row>
    <row r="58" spans="1:4">
      <c r="A58" s="15"/>
      <c r="B58" s="16" t="s">
        <v>31</v>
      </c>
      <c r="C58" s="70" t="s">
        <v>33</v>
      </c>
    </row>
    <row r="59" spans="1:4">
      <c r="A59" s="17"/>
      <c r="B59" s="16" t="str">
        <f>CONCATENATE("Temperature of drain water in ",C58)</f>
        <v>Temperature of drain water in C°</v>
      </c>
      <c r="C59" s="70">
        <v>38</v>
      </c>
    </row>
    <row r="60" spans="1:4" ht="11.7" thickBot="1">
      <c r="A60" s="18"/>
      <c r="B60" s="19" t="str">
        <f>CONCATENATE("Temperature of cold water in ",C58)</f>
        <v>Temperature of cold water in C°</v>
      </c>
      <c r="C60" s="72">
        <v>10</v>
      </c>
    </row>
    <row r="61" spans="1:4" ht="12" thickTop="1" thickBot="1">
      <c r="A61" s="20"/>
      <c r="B61" s="21"/>
      <c r="C61" s="22"/>
      <c r="D61" s="20"/>
    </row>
    <row r="62" spans="1:4" ht="12" thickTop="1" thickBot="1">
      <c r="A62" s="23"/>
      <c r="B62" s="24" t="s">
        <v>175</v>
      </c>
      <c r="C62" s="25" t="s">
        <v>7</v>
      </c>
      <c r="D62" s="26" t="s">
        <v>8</v>
      </c>
    </row>
    <row r="63" spans="1:4" ht="11.7" thickTop="1">
      <c r="A63" s="13"/>
      <c r="B63" s="27" t="s">
        <v>53</v>
      </c>
      <c r="C63" s="73" t="s">
        <v>208</v>
      </c>
      <c r="D63" s="74" t="s">
        <v>205</v>
      </c>
    </row>
    <row r="64" spans="1:4" ht="14.4">
      <c r="A64" s="15"/>
      <c r="B64" s="27" t="s">
        <v>174</v>
      </c>
      <c r="C64" s="114" t="str">
        <f>'SCENARIO 7 8 DATA'!B12</f>
        <v>Qty 2 units per stack, if N/A appears below, select a shorter unit</v>
      </c>
      <c r="D64" s="115"/>
    </row>
    <row r="65" spans="1:4">
      <c r="A65" s="17"/>
      <c r="B65" s="65" t="s">
        <v>176</v>
      </c>
      <c r="C65" s="30">
        <f>IF('SCENARIO 7 8 DATA'!B10=8,VLOOKUP(C63,'Drop Down Menus'!I15:J31,2,FALSE),IF('SCENARIO 7 8 DATA'!B10=10,VLOOKUP(C63,'Drop Down Menus'!I15:J31,2,FALSE),IF('SCENARIO 7 8 DATA'!B10=12,VLOOKUP(C63,'Drop Down Menus'!I15:J31,2,FALSE),IF('SCENARIO 7 8 DATA'!B10=13,VLOOKUP(C63,'Drop Down Menus'!I15:J31,2,FALSE),VLOOKUP(C63,'Drop Down Menus'!E15:F75,2,FALSE)))))/1000</f>
        <v>0.56000000000000005</v>
      </c>
      <c r="D65" s="31">
        <f>IF('SCENARIO 7 8 DATA'!B10=8,VLOOKUP(D63,'Drop Down Menus'!I15:J31,2,FALSE),IF('SCENARIO 7 8 DATA'!B10=10,VLOOKUP(D63,'Drop Down Menus'!I15:J31,2,FALSE),IF('SCENARIO 7 8 DATA'!B10=12,VLOOKUP(D63,'Drop Down Menus'!I15:J31,2,FALSE),IF('SCENARIO 7 8 DATA'!B10=13,VLOOKUP(D63,'Drop Down Menus'!I15:J31,2,FALSE),VLOOKUP(D63,'Drop Down Menus'!E15:F75,2,FALSE)))))/1000</f>
        <v>0.55000000000000004</v>
      </c>
    </row>
    <row r="66" spans="1:4" ht="14.65" customHeight="1" thickBot="1">
      <c r="A66" s="18"/>
      <c r="B66" s="29" t="s">
        <v>52</v>
      </c>
      <c r="C66" s="67">
        <f>'SCENARIO 7 8 DATA'!B33</f>
        <v>0.23549999999999999</v>
      </c>
      <c r="D66" s="68">
        <f>'SCENARIO 7 8 DATA'!C33</f>
        <v>0.23150000000000001</v>
      </c>
    </row>
    <row r="67" spans="1:4" ht="12" thickTop="1" thickBot="1">
      <c r="A67" s="23"/>
      <c r="B67" s="24" t="s">
        <v>3</v>
      </c>
      <c r="C67" s="56"/>
      <c r="D67" s="57"/>
    </row>
    <row r="68" spans="1:4" ht="11.7" thickTop="1">
      <c r="A68" s="17"/>
      <c r="B68" s="27" t="s">
        <v>4</v>
      </c>
      <c r="C68" s="58" t="str">
        <f>CONCATENATE('SCENARIO 7 8 DATA'!B35," kWh")</f>
        <v>3828 kWh</v>
      </c>
      <c r="D68" s="61" t="str">
        <f>CONCATENATE('SCENARIO 7 8 DATA'!C35," kWh")</f>
        <v>3763 kWh</v>
      </c>
    </row>
    <row r="69" spans="1:4">
      <c r="A69" s="17"/>
      <c r="B69" s="29" t="s">
        <v>14</v>
      </c>
      <c r="C69" s="36" t="str">
        <f>CONCATENATE('SCENARIO 7 8 DATA'!B36," GJ")</f>
        <v>11.5 GJ</v>
      </c>
      <c r="D69" s="37" t="str">
        <f>CONCATENATE('SCENARIO 7 8 DATA'!C36," GJ")</f>
        <v>11.3 GJ</v>
      </c>
    </row>
    <row r="70" spans="1:4">
      <c r="A70" s="17"/>
      <c r="B70" s="29" t="s">
        <v>13</v>
      </c>
      <c r="C70" s="36" t="str">
        <f>CONCATENATE('SCENARIO 7 8 DATA'!B37," Therm")</f>
        <v>145.73 Therm</v>
      </c>
      <c r="D70" s="37" t="str">
        <f>CONCATENATE('SCENARIO 7 8 DATA'!C37," Therm")</f>
        <v>143.35 Therm</v>
      </c>
    </row>
    <row r="71" spans="1:4" ht="11.7" thickBot="1">
      <c r="A71" s="18"/>
      <c r="B71" s="33" t="s">
        <v>177</v>
      </c>
      <c r="C71" s="38" t="str">
        <f>CONCATENATE('SCENARIO 7 8 DATA'!B38," m3")</f>
        <v>368 m3</v>
      </c>
      <c r="D71" s="39" t="str">
        <f>CONCATENATE('SCENARIO 7 8 DATA'!C38," m3")</f>
        <v>362 m3</v>
      </c>
    </row>
    <row r="72" spans="1:4" ht="12" thickTop="1" thickBot="1">
      <c r="A72" s="40"/>
      <c r="B72" s="64" t="str">
        <f>'SCENARIO 7 8 DATA'!B11</f>
        <v>table2</v>
      </c>
      <c r="C72" s="42"/>
      <c r="D72" s="21"/>
    </row>
    <row r="73" spans="1:4" ht="11.7" thickTop="1">
      <c r="A73" s="43"/>
      <c r="B73" s="44"/>
      <c r="C73" s="45"/>
      <c r="D73" s="46"/>
    </row>
    <row r="74" spans="1:4">
      <c r="A74" s="48"/>
      <c r="B74" s="49" t="s">
        <v>15</v>
      </c>
      <c r="C74" s="9"/>
      <c r="D74" s="50"/>
    </row>
    <row r="75" spans="1:4">
      <c r="A75" s="48"/>
      <c r="B75" s="49" t="s">
        <v>11</v>
      </c>
      <c r="C75" s="9"/>
      <c r="D75" s="50"/>
    </row>
    <row r="76" spans="1:4">
      <c r="A76" s="48"/>
      <c r="B76" s="49" t="s">
        <v>16</v>
      </c>
      <c r="C76" s="9"/>
      <c r="D76" s="50"/>
    </row>
  </sheetData>
  <sheetProtection selectLockedCells="1"/>
  <dataConsolidate/>
  <mergeCells count="1">
    <mergeCell ref="C64:D64"/>
  </mergeCells>
  <dataValidations count="6">
    <dataValidation type="list" allowBlank="1" showInputMessage="1" showErrorMessage="1" sqref="C56" xr:uid="{00000000-0002-0000-0400-000000000000}">
      <formula1>metric_flow_rate</formula1>
    </dataValidation>
    <dataValidation type="list" allowBlank="1" showInputMessage="1" showErrorMessage="1" sqref="C54" xr:uid="{00000000-0002-0000-0400-000001000000}">
      <formula1>shower_time</formula1>
    </dataValidation>
    <dataValidation type="list" allowBlank="1" showInputMessage="1" showErrorMessage="1" sqref="C58" xr:uid="{00000000-0002-0000-0400-000002000000}">
      <formula1>tempunits</formula1>
    </dataValidation>
    <dataValidation type="list" allowBlank="1" showInputMessage="1" showErrorMessage="1" sqref="C55 C53" xr:uid="{00000000-0002-0000-0400-000003000000}">
      <formula1>qty_showers</formula1>
    </dataValidation>
    <dataValidation type="list" allowBlank="1" showInputMessage="1" showErrorMessage="1" sqref="C52" xr:uid="{00000000-0002-0000-0400-000004000000}">
      <formula1>configurationc</formula1>
    </dataValidation>
    <dataValidation type="list" allowBlank="1" showInputMessage="1" showErrorMessage="1" sqref="C63 D63" xr:uid="{00000000-0002-0000-0400-000005000000}">
      <formula1>INDIRECT($B$72)</formula1>
    </dataValidation>
  </dataValidations>
  <pageMargins left="0.7" right="0.7" top="0.75" bottom="0.75" header="0.3" footer="0.3"/>
  <pageSetup orientation="portrait" horizontalDpi="300" verticalDpi="300" r:id="rId1"/>
  <headerFooter>
    <oddFooter xml:space="preserve">&amp;L&amp;8EcoInnovation   |   Solutions for the future   |   www.ecoinnovation.ca    |   Toll free: 888-881-7693  |  info@ecoinnovation.ca              
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39"/>
  <sheetViews>
    <sheetView workbookViewId="0">
      <selection sqref="A1:XFD1048576"/>
    </sheetView>
  </sheetViews>
  <sheetFormatPr defaultColWidth="9" defaultRowHeight="10.5" customHeight="1"/>
  <cols>
    <col min="1" max="1" width="17" style="83" customWidth="1"/>
    <col min="2" max="2" width="19.26171875" style="83" bestFit="1" customWidth="1"/>
    <col min="3" max="3" width="16" style="83" customWidth="1"/>
    <col min="4" max="5" width="9" style="83"/>
    <col min="6" max="6" width="9.578125" style="83" bestFit="1" customWidth="1"/>
    <col min="7" max="7" width="12.578125" style="83" customWidth="1"/>
    <col min="8" max="8" width="11.26171875" style="83" customWidth="1"/>
    <col min="9" max="16384" width="9" style="83"/>
  </cols>
  <sheetData>
    <row r="1" spans="1:17" ht="10.5" customHeight="1">
      <c r="A1" s="80"/>
      <c r="B1" s="81">
        <v>1</v>
      </c>
      <c r="C1" s="82" t="s">
        <v>45</v>
      </c>
      <c r="D1" s="82"/>
      <c r="J1" s="80"/>
      <c r="K1" s="81"/>
      <c r="L1" s="82"/>
      <c r="M1" s="82"/>
    </row>
    <row r="2" spans="1:17" ht="10.5" customHeight="1">
      <c r="A2" s="80" t="s">
        <v>30</v>
      </c>
      <c r="B2" s="84">
        <v>1</v>
      </c>
      <c r="C2" s="82" t="s">
        <v>2</v>
      </c>
      <c r="D2" s="82"/>
      <c r="J2" s="80"/>
      <c r="K2" s="84"/>
      <c r="L2" s="82"/>
      <c r="M2" s="82"/>
    </row>
    <row r="3" spans="1:17" ht="10.5" customHeight="1">
      <c r="A3" s="80" t="s">
        <v>28</v>
      </c>
      <c r="B3" s="81">
        <f>IF('MULTI-RES'!C56="9.5 lpm (2.5 gpm)",95,IF('MULTI-RES'!C56="7.6 lpm (2.0 gpm)",76,IF('MULTI-RES'!C56="5.7 lpm (1.5 gpm)",57,FALSE)))</f>
        <v>76</v>
      </c>
      <c r="C3" s="82" t="s">
        <v>25</v>
      </c>
      <c r="D3" s="82"/>
      <c r="J3" s="80"/>
      <c r="K3" s="81"/>
      <c r="L3" s="82"/>
      <c r="M3" s="82"/>
    </row>
    <row r="4" spans="1:17" ht="10.5" customHeight="1">
      <c r="A4" s="80" t="s">
        <v>29</v>
      </c>
      <c r="B4" s="81">
        <f>IF(B3=95,25,IF(B3=76,2,IF(B3=57,15)))</f>
        <v>2</v>
      </c>
      <c r="C4" s="82" t="s">
        <v>20</v>
      </c>
      <c r="D4" s="82"/>
      <c r="J4" s="80"/>
      <c r="K4" s="81"/>
      <c r="L4" s="82"/>
      <c r="M4" s="82"/>
    </row>
    <row r="5" spans="1:17" ht="10.5" customHeight="1">
      <c r="A5" s="80"/>
      <c r="B5" s="84">
        <v>0.8</v>
      </c>
      <c r="C5" s="82" t="s">
        <v>74</v>
      </c>
      <c r="D5" s="82"/>
      <c r="J5" s="80"/>
      <c r="K5" s="84"/>
      <c r="L5" s="82"/>
      <c r="M5" s="82"/>
    </row>
    <row r="6" spans="1:17" ht="10.5" customHeight="1">
      <c r="A6" s="80" t="s">
        <v>30</v>
      </c>
      <c r="B6" s="84">
        <f>'MULTI-RES'!C57</f>
        <v>0.8</v>
      </c>
      <c r="C6" s="82" t="s">
        <v>19</v>
      </c>
      <c r="D6" s="82"/>
      <c r="H6" s="82"/>
      <c r="J6" s="80"/>
      <c r="K6" s="84"/>
      <c r="L6" s="82"/>
      <c r="M6" s="82"/>
      <c r="Q6" s="82"/>
    </row>
    <row r="7" spans="1:17" ht="10.5" customHeight="1">
      <c r="A7" s="80"/>
      <c r="B7" s="86">
        <f>'MULTI-RES'!C54</f>
        <v>8</v>
      </c>
      <c r="C7" s="82" t="s">
        <v>23</v>
      </c>
      <c r="D7" s="82"/>
      <c r="H7" s="82"/>
      <c r="J7" s="80"/>
      <c r="K7" s="86"/>
      <c r="L7" s="82"/>
      <c r="M7" s="82"/>
      <c r="Q7" s="82"/>
    </row>
    <row r="8" spans="1:17" ht="10.5" customHeight="1">
      <c r="A8" s="80"/>
      <c r="B8" s="86">
        <f>'MULTI-RES'!C55</f>
        <v>3</v>
      </c>
      <c r="C8" s="82" t="s">
        <v>44</v>
      </c>
      <c r="D8" s="82"/>
      <c r="H8" s="82"/>
      <c r="J8" s="80"/>
      <c r="K8" s="86"/>
      <c r="L8" s="82"/>
      <c r="M8" s="82"/>
      <c r="Q8" s="82"/>
    </row>
    <row r="9" spans="1:17" ht="10.5" customHeight="1">
      <c r="A9" s="80"/>
      <c r="B9" s="93">
        <f>IF(B3=95,0,IF(B3=76,29/1000,IF(B3=57,61/1000)))</f>
        <v>2.9000000000000001E-2</v>
      </c>
      <c r="C9" s="82" t="s">
        <v>157</v>
      </c>
      <c r="D9" s="82"/>
      <c r="H9" s="82"/>
      <c r="J9" s="80"/>
      <c r="K9" s="81"/>
      <c r="L9" s="82"/>
      <c r="M9" s="82"/>
      <c r="Q9" s="82"/>
    </row>
    <row r="10" spans="1:17" ht="10.5" customHeight="1">
      <c r="B10" s="93">
        <f>VALUE(LEFT('MULTI-RES'!C52,2))</f>
        <v>13</v>
      </c>
      <c r="C10" s="82" t="s">
        <v>90</v>
      </c>
      <c r="H10" s="82"/>
      <c r="Q10" s="82"/>
    </row>
    <row r="11" spans="1:17" ht="10.5" customHeight="1">
      <c r="B11" s="94" t="str">
        <f>IF(B10=8,"table2",IF(B10=10,"table2",IF(B10=12,"table2",IF(B10=7,"table1",IF(B10=9,"table1",IF(B10=11,"table1","table2"))))))</f>
        <v>table2</v>
      </c>
      <c r="C11" s="82" t="s">
        <v>170</v>
      </c>
      <c r="H11" s="82"/>
      <c r="Q11" s="82"/>
    </row>
    <row r="12" spans="1:17" ht="10.5" customHeight="1">
      <c r="B12" s="94" t="str">
        <f>IF(B11="table1","Qty 1 unit per stack",IF(B11="table2","Qty 2 units per stack, if N/A appears below, select a shorter unit"))</f>
        <v>Qty 2 units per stack, if N/A appears below, select a shorter unit</v>
      </c>
      <c r="C12" s="82" t="s">
        <v>173</v>
      </c>
      <c r="H12" s="82"/>
      <c r="Q12" s="82"/>
    </row>
    <row r="13" spans="1:17" ht="10.5" customHeight="1">
      <c r="H13" s="82"/>
      <c r="Q13" s="82"/>
    </row>
    <row r="14" spans="1:17" ht="10.5" customHeight="1">
      <c r="A14" s="80"/>
      <c r="B14" s="81" t="str">
        <f>'DUAL SHOWER'!C32</f>
        <v>C°</v>
      </c>
      <c r="C14" s="82" t="s">
        <v>64</v>
      </c>
      <c r="D14" s="82"/>
      <c r="H14" s="82"/>
      <c r="J14" s="80"/>
      <c r="K14" s="81"/>
      <c r="L14" s="82"/>
      <c r="M14" s="82"/>
      <c r="Q14" s="82"/>
    </row>
    <row r="15" spans="1:17" ht="10.5" customHeight="1">
      <c r="A15" s="80" t="s">
        <v>33</v>
      </c>
      <c r="B15" s="91">
        <f>IF(B14="C°",'DUAL SHOWER'!C33,ROUND(('DUAL SHOWER'!C33-32)*(5/9),1))</f>
        <v>38</v>
      </c>
      <c r="C15" s="82" t="s">
        <v>26</v>
      </c>
      <c r="D15" s="82"/>
      <c r="H15" s="82"/>
      <c r="J15" s="80"/>
      <c r="K15" s="81"/>
      <c r="L15" s="82"/>
      <c r="M15" s="82"/>
      <c r="Q15" s="82"/>
    </row>
    <row r="16" spans="1:17" ht="10.5" customHeight="1">
      <c r="A16" s="80" t="s">
        <v>33</v>
      </c>
      <c r="B16" s="91">
        <f>IF(B14="C°",'DUAL SHOWER'!C34,ROUND(('SINGLE SHOWER'!C35-32)*(5/9),1))</f>
        <v>10</v>
      </c>
      <c r="C16" s="82" t="s">
        <v>27</v>
      </c>
      <c r="D16" s="82"/>
      <c r="H16" s="82"/>
      <c r="J16" s="80"/>
      <c r="K16" s="81"/>
      <c r="L16" s="82"/>
      <c r="M16" s="82"/>
      <c r="Q16" s="82"/>
    </row>
    <row r="17" spans="1:17" ht="10.5" customHeight="1">
      <c r="A17" s="80" t="s">
        <v>33</v>
      </c>
      <c r="B17" s="91">
        <f>(B15-B16)</f>
        <v>28</v>
      </c>
      <c r="C17" s="82" t="s">
        <v>35</v>
      </c>
      <c r="D17" s="82"/>
      <c r="H17" s="82"/>
      <c r="J17" s="80"/>
      <c r="K17" s="81"/>
      <c r="L17" s="82"/>
      <c r="M17" s="82"/>
      <c r="Q17" s="82"/>
    </row>
    <row r="18" spans="1:17" ht="10.5" customHeight="1">
      <c r="A18" s="80"/>
      <c r="B18" s="81"/>
      <c r="C18" s="82"/>
      <c r="D18" s="82"/>
      <c r="H18" s="82"/>
      <c r="J18" s="80"/>
      <c r="K18" s="81"/>
      <c r="L18" s="82"/>
      <c r="M18" s="82"/>
      <c r="Q18" s="82"/>
    </row>
    <row r="19" spans="1:17" ht="10.5" customHeight="1">
      <c r="A19" s="80"/>
      <c r="C19" s="82"/>
      <c r="D19" s="82"/>
      <c r="H19" s="82"/>
      <c r="J19" s="80"/>
      <c r="K19" s="81"/>
      <c r="L19" s="82"/>
      <c r="M19" s="82"/>
      <c r="Q19" s="82"/>
    </row>
    <row r="20" spans="1:17" ht="10.5" customHeight="1">
      <c r="A20" s="80" t="s">
        <v>37</v>
      </c>
      <c r="B20" s="81">
        <f>ROUND((B1*B7*B8*B2)/60,2)</f>
        <v>0.4</v>
      </c>
      <c r="C20" s="82" t="s">
        <v>46</v>
      </c>
      <c r="D20" s="82"/>
      <c r="H20" s="82"/>
      <c r="J20" s="80"/>
      <c r="K20" s="81"/>
      <c r="L20" s="82"/>
      <c r="M20" s="82"/>
      <c r="Q20" s="82"/>
    </row>
    <row r="21" spans="1:17" ht="10.5" customHeight="1">
      <c r="A21" s="80" t="s">
        <v>37</v>
      </c>
      <c r="B21" s="81">
        <f>B20*365</f>
        <v>146</v>
      </c>
      <c r="C21" s="82" t="s">
        <v>48</v>
      </c>
      <c r="D21" s="82"/>
      <c r="J21" s="80"/>
      <c r="K21" s="81"/>
      <c r="L21" s="82"/>
      <c r="M21" s="82"/>
    </row>
    <row r="22" spans="1:17" ht="10.5" customHeight="1">
      <c r="A22" s="80" t="s">
        <v>0</v>
      </c>
      <c r="B22" s="81">
        <f>ROUNDUP((((B3/60)*B17*(41855/10000))/B6),2)</f>
        <v>185.56</v>
      </c>
      <c r="C22" s="82" t="s">
        <v>36</v>
      </c>
      <c r="D22" s="82"/>
      <c r="J22" s="80"/>
      <c r="K22" s="81"/>
      <c r="L22" s="82"/>
      <c r="M22" s="82"/>
    </row>
    <row r="23" spans="1:17" ht="10.5" customHeight="1">
      <c r="A23" s="80" t="s">
        <v>5</v>
      </c>
      <c r="B23" s="81">
        <f>ROUND((B22*B21),1)</f>
        <v>27091.8</v>
      </c>
      <c r="C23" s="82" t="s">
        <v>38</v>
      </c>
      <c r="D23" s="82"/>
      <c r="J23" s="80"/>
      <c r="K23" s="81"/>
      <c r="L23" s="82"/>
      <c r="M23" s="82"/>
    </row>
    <row r="24" spans="1:17" ht="10.5" customHeight="1">
      <c r="A24" s="80"/>
      <c r="B24" s="82"/>
      <c r="C24" s="82"/>
      <c r="D24" s="82"/>
      <c r="J24" s="80"/>
      <c r="K24" s="82"/>
      <c r="L24" s="82"/>
      <c r="M24" s="82"/>
    </row>
    <row r="25" spans="1:17" ht="10.5" customHeight="1">
      <c r="A25" s="80"/>
      <c r="B25" s="82"/>
      <c r="C25" s="82"/>
      <c r="D25" s="82"/>
      <c r="J25" s="80"/>
      <c r="K25" s="82"/>
      <c r="L25" s="82"/>
      <c r="M25" s="82"/>
    </row>
    <row r="26" spans="1:17" ht="10.5" customHeight="1">
      <c r="A26" s="80"/>
      <c r="B26" s="87" t="s">
        <v>39</v>
      </c>
      <c r="C26" s="87" t="s">
        <v>40</v>
      </c>
      <c r="D26" s="82"/>
      <c r="J26" s="80"/>
      <c r="K26" s="87"/>
      <c r="L26" s="87"/>
      <c r="M26" s="82"/>
    </row>
    <row r="27" spans="1:17" ht="10.5" customHeight="1">
      <c r="A27" s="80" t="s">
        <v>42</v>
      </c>
      <c r="B27" s="81" t="str">
        <f>'MULTI-RES'!C63</f>
        <v>TDH3360B Model eff. 43.8%</v>
      </c>
      <c r="C27" s="81" t="str">
        <f>'MULTI-RES'!D63</f>
        <v>TDH3345B Model eff. 42.8%</v>
      </c>
      <c r="D27" s="82" t="s">
        <v>6</v>
      </c>
      <c r="J27" s="80"/>
      <c r="K27" s="81"/>
      <c r="L27" s="81"/>
      <c r="M27" s="82"/>
    </row>
    <row r="28" spans="1:17" ht="10.5" customHeight="1">
      <c r="A28" s="80"/>
      <c r="B28" s="81">
        <f>'MULTI-RES'!C53</f>
        <v>6</v>
      </c>
      <c r="C28" s="81">
        <f>B28</f>
        <v>6</v>
      </c>
      <c r="D28" s="82" t="s">
        <v>91</v>
      </c>
      <c r="J28" s="80"/>
      <c r="K28" s="81"/>
      <c r="L28" s="81"/>
      <c r="M28" s="82"/>
    </row>
    <row r="29" spans="1:17" ht="10.5" customHeight="1">
      <c r="A29" s="80" t="s">
        <v>30</v>
      </c>
      <c r="B29" s="88">
        <f>'MULTI-RES'!C65</f>
        <v>0.56000000000000005</v>
      </c>
      <c r="C29" s="88">
        <f>'MULTI-RES'!D65</f>
        <v>0.55000000000000004</v>
      </c>
      <c r="D29" s="82" t="s">
        <v>65</v>
      </c>
      <c r="J29" s="80"/>
      <c r="K29" s="88"/>
      <c r="L29" s="88"/>
      <c r="M29" s="82"/>
    </row>
    <row r="30" spans="1:17" ht="10.5" customHeight="1">
      <c r="B30" s="88">
        <f>B29+B9</f>
        <v>0.58900000000000008</v>
      </c>
      <c r="C30" s="88">
        <f>C29+B9</f>
        <v>0.57900000000000007</v>
      </c>
      <c r="D30" s="82" t="s">
        <v>86</v>
      </c>
      <c r="K30" s="88"/>
      <c r="L30" s="88"/>
      <c r="M30" s="82"/>
    </row>
    <row r="31" spans="1:17" ht="10.5" customHeight="1">
      <c r="A31" s="80" t="s">
        <v>30</v>
      </c>
      <c r="B31" s="84">
        <f>B5</f>
        <v>0.8</v>
      </c>
      <c r="C31" s="89">
        <f>B5</f>
        <v>0.8</v>
      </c>
      <c r="D31" s="82" t="s">
        <v>66</v>
      </c>
      <c r="J31" s="80"/>
      <c r="K31" s="84"/>
      <c r="L31" s="89"/>
      <c r="M31" s="82"/>
    </row>
    <row r="32" spans="1:17" ht="10.5" customHeight="1">
      <c r="A32" s="80" t="s">
        <v>30</v>
      </c>
      <c r="B32" s="88">
        <f>ROUND((B31*B30),3)</f>
        <v>0.47099999999999997</v>
      </c>
      <c r="C32" s="90">
        <f>ROUND((C31*C30),3)</f>
        <v>0.46300000000000002</v>
      </c>
      <c r="D32" s="82" t="s">
        <v>67</v>
      </c>
      <c r="J32" s="80"/>
      <c r="K32" s="88"/>
      <c r="L32" s="90"/>
      <c r="M32" s="82"/>
    </row>
    <row r="33" spans="1:13" ht="10.5" customHeight="1">
      <c r="A33" s="80" t="s">
        <v>30</v>
      </c>
      <c r="B33" s="88">
        <f>IF($B$10=11,B32/2,IF($B$10=13,B32/2,B32))</f>
        <v>0.23549999999999999</v>
      </c>
      <c r="C33" s="88">
        <f>IF($B$10=11,C32/2,IF($B$10=13,C32/2,C32))</f>
        <v>0.23150000000000001</v>
      </c>
      <c r="D33" s="95" t="s">
        <v>195</v>
      </c>
    </row>
    <row r="34" spans="1:13" ht="10.5" customHeight="1">
      <c r="J34" s="80"/>
      <c r="K34" s="81"/>
      <c r="L34" s="81"/>
      <c r="M34" s="82"/>
    </row>
    <row r="35" spans="1:13" ht="10.5" customHeight="1">
      <c r="A35" s="80" t="s">
        <v>5</v>
      </c>
      <c r="B35" s="92">
        <f>ROUND(((($B$23/10)*B28)*B33),0)</f>
        <v>3828</v>
      </c>
      <c r="C35" s="92">
        <f>ROUND(((($B$23/10)*C28)*C33),0)</f>
        <v>3763</v>
      </c>
      <c r="D35" s="82" t="s">
        <v>68</v>
      </c>
      <c r="J35" s="80"/>
      <c r="K35" s="92"/>
      <c r="L35" s="92"/>
      <c r="M35" s="82"/>
    </row>
    <row r="36" spans="1:13" ht="10.5" customHeight="1">
      <c r="A36" s="80" t="s">
        <v>17</v>
      </c>
      <c r="B36" s="91">
        <f>ROUND((B35)*(3/1000),1)</f>
        <v>11.5</v>
      </c>
      <c r="C36" s="91">
        <f>ROUND((C35)*(3/1000),1)</f>
        <v>11.3</v>
      </c>
      <c r="D36" s="82" t="s">
        <v>14</v>
      </c>
      <c r="J36" s="80"/>
      <c r="K36" s="92"/>
      <c r="L36" s="92"/>
      <c r="M36" s="82"/>
    </row>
    <row r="37" spans="1:13" ht="10.5" customHeight="1">
      <c r="A37" s="80" t="s">
        <v>12</v>
      </c>
      <c r="B37" s="92">
        <f>ROUND((B38)*(396/1000),2)</f>
        <v>145.72999999999999</v>
      </c>
      <c r="C37" s="92">
        <f>ROUND((C38)*(396/1000),2)</f>
        <v>143.35</v>
      </c>
      <c r="D37" s="82" t="s">
        <v>13</v>
      </c>
      <c r="J37" s="80"/>
      <c r="K37" s="92"/>
      <c r="L37" s="92"/>
      <c r="M37" s="82"/>
    </row>
    <row r="38" spans="1:13" ht="10.5" customHeight="1">
      <c r="A38" s="80" t="s">
        <v>41</v>
      </c>
      <c r="B38" s="92">
        <f>ROUND((B35)*(962/10000),0)</f>
        <v>368</v>
      </c>
      <c r="C38" s="92">
        <f>ROUND((C35)*(962/10000),0)</f>
        <v>362</v>
      </c>
      <c r="D38" s="82" t="s">
        <v>10</v>
      </c>
      <c r="J38" s="80"/>
      <c r="K38" s="89"/>
      <c r="L38" s="89"/>
      <c r="M38" s="82"/>
    </row>
    <row r="39" spans="1:13" ht="10.5" customHeight="1">
      <c r="A39" s="80"/>
      <c r="B39" s="89">
        <f>B6</f>
        <v>0.8</v>
      </c>
      <c r="C39" s="89">
        <f>B39</f>
        <v>0.8</v>
      </c>
      <c r="D39" s="82" t="s">
        <v>43</v>
      </c>
    </row>
  </sheetData>
  <sheetProtection algorithmName="SHA-512" hashValue="07o9lPrmQZBmEPU3+cFy9Y0RmfHNGnR5WECOJJBQMKpa7M5WoI0sF2JLiGGIR98J9EBuU5OTGm9OQpoWcM2ESQ==" saltValue="zTYDDYax9aq4DNbM6XbdRQ==" spinCount="100000" sheet="1" selectLockedCells="1" selectUnlockedCell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/>
  <dimension ref="A1:S98"/>
  <sheetViews>
    <sheetView topLeftCell="A25" workbookViewId="0">
      <selection activeCell="N40" sqref="N40"/>
    </sheetView>
  </sheetViews>
  <sheetFormatPr defaultColWidth="15.83984375" defaultRowHeight="14.4"/>
  <cols>
    <col min="1" max="16384" width="15.83984375" style="96"/>
  </cols>
  <sheetData>
    <row r="1" spans="1:19" ht="15" customHeight="1"/>
    <row r="2" spans="1:19" ht="15" customHeight="1">
      <c r="A2" s="97" t="s">
        <v>82</v>
      </c>
      <c r="B2" s="97" t="s">
        <v>81</v>
      </c>
      <c r="C2" s="97" t="s">
        <v>80</v>
      </c>
      <c r="D2" s="97"/>
      <c r="E2" s="97" t="s">
        <v>88</v>
      </c>
      <c r="F2" s="97" t="s">
        <v>78</v>
      </c>
      <c r="H2" s="98"/>
    </row>
    <row r="3" spans="1:19" ht="15" customHeight="1">
      <c r="A3" s="98" t="s">
        <v>54</v>
      </c>
      <c r="B3" s="98" t="s">
        <v>147</v>
      </c>
      <c r="C3" s="98" t="s">
        <v>167</v>
      </c>
      <c r="D3" s="98"/>
      <c r="E3" s="98" t="s">
        <v>162</v>
      </c>
      <c r="F3" s="98" t="s">
        <v>60</v>
      </c>
      <c r="H3" s="99" t="s">
        <v>77</v>
      </c>
    </row>
    <row r="4" spans="1:19" ht="15" customHeight="1">
      <c r="A4" s="98" t="s">
        <v>55</v>
      </c>
      <c r="B4" s="98" t="s">
        <v>148</v>
      </c>
      <c r="C4" s="98" t="s">
        <v>168</v>
      </c>
      <c r="D4" s="98"/>
      <c r="E4" s="98" t="s">
        <v>163</v>
      </c>
      <c r="F4" s="98" t="s">
        <v>21</v>
      </c>
      <c r="H4" s="98" t="s">
        <v>76</v>
      </c>
    </row>
    <row r="5" spans="1:19" ht="15" customHeight="1">
      <c r="A5" s="98" t="s">
        <v>56</v>
      </c>
      <c r="B5" s="98" t="s">
        <v>149</v>
      </c>
      <c r="C5" s="98" t="s">
        <v>152</v>
      </c>
      <c r="D5" s="98"/>
      <c r="E5" s="98" t="s">
        <v>165</v>
      </c>
      <c r="F5" s="98" t="s">
        <v>18</v>
      </c>
      <c r="H5" s="98" t="s">
        <v>75</v>
      </c>
    </row>
    <row r="6" spans="1:19" ht="15" customHeight="1">
      <c r="A6" s="98"/>
      <c r="E6" s="98" t="s">
        <v>164</v>
      </c>
      <c r="F6" s="98" t="s">
        <v>9</v>
      </c>
      <c r="H6" s="98" t="s">
        <v>63</v>
      </c>
    </row>
    <row r="7" spans="1:19" ht="15" customHeight="1">
      <c r="A7" s="97" t="s">
        <v>83</v>
      </c>
      <c r="E7" s="98" t="s">
        <v>166</v>
      </c>
      <c r="F7" s="98"/>
    </row>
    <row r="8" spans="1:19" ht="15" customHeight="1">
      <c r="A8" s="98" t="s">
        <v>54</v>
      </c>
      <c r="E8" s="98" t="s">
        <v>193</v>
      </c>
    </row>
    <row r="9" spans="1:19" ht="15" customHeight="1">
      <c r="A9" s="98" t="s">
        <v>55</v>
      </c>
      <c r="E9" s="98" t="s">
        <v>194</v>
      </c>
    </row>
    <row r="10" spans="1:19" ht="15" customHeight="1">
      <c r="A10" s="98"/>
      <c r="H10" s="99" t="s">
        <v>79</v>
      </c>
    </row>
    <row r="11" spans="1:19" ht="15" customHeight="1">
      <c r="A11" s="98"/>
      <c r="B11" s="98"/>
      <c r="C11" s="98" t="s">
        <v>150</v>
      </c>
      <c r="D11" s="98"/>
      <c r="H11" s="98" t="s">
        <v>61</v>
      </c>
    </row>
    <row r="12" spans="1:19" ht="15" customHeight="1">
      <c r="A12" s="98"/>
      <c r="B12" s="98"/>
      <c r="C12" s="98" t="s">
        <v>151</v>
      </c>
      <c r="D12" s="98"/>
      <c r="H12" s="98" t="s">
        <v>24</v>
      </c>
    </row>
    <row r="13" spans="1:19" ht="15" customHeight="1">
      <c r="B13" s="98"/>
      <c r="C13" s="98" t="s">
        <v>152</v>
      </c>
      <c r="D13" s="98"/>
      <c r="E13" s="98"/>
      <c r="F13" s="96" t="s">
        <v>58</v>
      </c>
      <c r="I13" s="116" t="s">
        <v>158</v>
      </c>
      <c r="J13" s="116"/>
      <c r="K13" s="116"/>
      <c r="Q13" s="98"/>
      <c r="R13" s="98"/>
      <c r="S13" s="96" t="s">
        <v>58</v>
      </c>
    </row>
    <row r="14" spans="1:19">
      <c r="E14" s="97" t="s">
        <v>171</v>
      </c>
      <c r="F14" s="96" t="s">
        <v>57</v>
      </c>
      <c r="I14" s="96" t="s">
        <v>172</v>
      </c>
      <c r="J14" s="96" t="s">
        <v>161</v>
      </c>
      <c r="L14" s="96" t="s">
        <v>160</v>
      </c>
      <c r="M14" s="100" t="s">
        <v>159</v>
      </c>
      <c r="R14" s="97" t="s">
        <v>171</v>
      </c>
      <c r="S14" s="96" t="s">
        <v>57</v>
      </c>
    </row>
    <row r="15" spans="1:19">
      <c r="D15" s="101" t="s">
        <v>70</v>
      </c>
      <c r="E15" s="101" t="s">
        <v>201</v>
      </c>
      <c r="F15" s="102">
        <v>410</v>
      </c>
      <c r="G15" s="102"/>
      <c r="H15" s="96" t="s">
        <v>70</v>
      </c>
      <c r="I15" s="101" t="s">
        <v>201</v>
      </c>
      <c r="J15" s="102">
        <v>531</v>
      </c>
      <c r="K15" s="102"/>
      <c r="L15" s="96">
        <f>M15*2</f>
        <v>64</v>
      </c>
      <c r="M15" s="96">
        <v>32</v>
      </c>
      <c r="Q15" s="101" t="s">
        <v>70</v>
      </c>
      <c r="R15" s="101" t="str">
        <f>Q15&amp;" Model eff. "&amp;S15*100&amp;"%"</f>
        <v>TDH3320B Model eff. 41%</v>
      </c>
      <c r="S15" s="103">
        <v>0.41</v>
      </c>
    </row>
    <row r="16" spans="1:19">
      <c r="D16" s="101" t="s">
        <v>92</v>
      </c>
      <c r="E16" s="101" t="s">
        <v>202</v>
      </c>
      <c r="F16" s="102">
        <v>414</v>
      </c>
      <c r="G16" s="102"/>
      <c r="H16" s="96" t="s">
        <v>92</v>
      </c>
      <c r="I16" s="101" t="s">
        <v>202</v>
      </c>
      <c r="J16" s="102">
        <v>535</v>
      </c>
      <c r="L16" s="96">
        <f t="shared" ref="L16:L31" si="0">M16*2</f>
        <v>65</v>
      </c>
      <c r="M16" s="96">
        <f>325/10</f>
        <v>32.5</v>
      </c>
      <c r="Q16" s="101" t="s">
        <v>92</v>
      </c>
      <c r="R16" s="101" t="str">
        <f t="shared" ref="R16:R75" si="1">Q16&amp;" Model eff. "&amp;S16*100&amp;"%"</f>
        <v>TDH3325B Model eff. 41,4%</v>
      </c>
      <c r="S16" s="103">
        <v>0.41399999999999998</v>
      </c>
    </row>
    <row r="17" spans="1:19">
      <c r="D17" s="101" t="s">
        <v>93</v>
      </c>
      <c r="E17" s="101" t="s">
        <v>203</v>
      </c>
      <c r="F17" s="102">
        <v>418</v>
      </c>
      <c r="G17" s="102"/>
      <c r="H17" s="96" t="s">
        <v>93</v>
      </c>
      <c r="I17" s="101" t="s">
        <v>203</v>
      </c>
      <c r="J17" s="102">
        <v>539</v>
      </c>
      <c r="L17" s="96">
        <f t="shared" si="0"/>
        <v>66</v>
      </c>
      <c r="M17" s="96">
        <v>33</v>
      </c>
      <c r="Q17" s="101" t="s">
        <v>93</v>
      </c>
      <c r="R17" s="101" t="str">
        <f t="shared" si="1"/>
        <v>TDH3330B Model eff. 41,8%</v>
      </c>
      <c r="S17" s="103">
        <v>0.41799999999999998</v>
      </c>
    </row>
    <row r="18" spans="1:19">
      <c r="D18" s="104" t="s">
        <v>155</v>
      </c>
      <c r="E18" s="101" t="s">
        <v>198</v>
      </c>
      <c r="F18" s="102">
        <v>421.00000000000006</v>
      </c>
      <c r="G18" s="102"/>
      <c r="H18" s="96" t="s">
        <v>155</v>
      </c>
      <c r="I18" s="101" t="s">
        <v>198</v>
      </c>
      <c r="J18" s="102">
        <v>543</v>
      </c>
      <c r="L18" s="96">
        <f t="shared" si="0"/>
        <v>67</v>
      </c>
      <c r="M18" s="96">
        <f>335/10</f>
        <v>33.5</v>
      </c>
      <c r="Q18" s="104" t="s">
        <v>155</v>
      </c>
      <c r="R18" s="101" t="str">
        <f t="shared" si="1"/>
        <v>*TDH3335B* Model eff. 42,1%</v>
      </c>
      <c r="S18" s="103">
        <v>0.42100000000000004</v>
      </c>
    </row>
    <row r="19" spans="1:19">
      <c r="D19" s="101" t="s">
        <v>94</v>
      </c>
      <c r="E19" s="101" t="s">
        <v>204</v>
      </c>
      <c r="F19" s="102">
        <v>425</v>
      </c>
      <c r="G19" s="102"/>
      <c r="H19" s="96" t="s">
        <v>94</v>
      </c>
      <c r="I19" s="101" t="s">
        <v>204</v>
      </c>
      <c r="J19" s="102">
        <v>546</v>
      </c>
      <c r="L19" s="96">
        <f t="shared" si="0"/>
        <v>68</v>
      </c>
      <c r="M19" s="96">
        <v>34</v>
      </c>
      <c r="Q19" s="101" t="s">
        <v>94</v>
      </c>
      <c r="R19" s="101" t="str">
        <f t="shared" si="1"/>
        <v>TDH3340B Model eff. 42,5%</v>
      </c>
      <c r="S19" s="103">
        <v>0.42499999999999999</v>
      </c>
    </row>
    <row r="20" spans="1:19">
      <c r="D20" s="101" t="s">
        <v>95</v>
      </c>
      <c r="E20" s="101" t="s">
        <v>205</v>
      </c>
      <c r="F20" s="102">
        <v>428</v>
      </c>
      <c r="G20" s="102"/>
      <c r="H20" s="96" t="s">
        <v>95</v>
      </c>
      <c r="I20" s="101" t="s">
        <v>205</v>
      </c>
      <c r="J20" s="102">
        <v>550</v>
      </c>
      <c r="L20" s="96">
        <f t="shared" si="0"/>
        <v>69</v>
      </c>
      <c r="M20" s="96">
        <f>345/10</f>
        <v>34.5</v>
      </c>
      <c r="Q20" s="101" t="s">
        <v>95</v>
      </c>
      <c r="R20" s="101" t="str">
        <f t="shared" si="1"/>
        <v>TDH3345B Model eff. 42,8%</v>
      </c>
      <c r="S20" s="103">
        <v>0.42799999999999999</v>
      </c>
    </row>
    <row r="21" spans="1:19">
      <c r="D21" s="101" t="s">
        <v>96</v>
      </c>
      <c r="E21" s="101" t="s">
        <v>206</v>
      </c>
      <c r="F21" s="102">
        <v>432.00000000000006</v>
      </c>
      <c r="G21" s="102"/>
      <c r="H21" s="96" t="s">
        <v>96</v>
      </c>
      <c r="I21" s="101" t="s">
        <v>206</v>
      </c>
      <c r="J21" s="102">
        <v>553</v>
      </c>
      <c r="L21" s="96">
        <f t="shared" si="0"/>
        <v>70</v>
      </c>
      <c r="M21" s="96">
        <v>35</v>
      </c>
      <c r="Q21" s="101" t="s">
        <v>96</v>
      </c>
      <c r="R21" s="101" t="str">
        <f t="shared" si="1"/>
        <v>TDH3350B Model eff. 43,2%</v>
      </c>
      <c r="S21" s="103">
        <v>0.43200000000000005</v>
      </c>
    </row>
    <row r="22" spans="1:19">
      <c r="D22" s="101" t="s">
        <v>97</v>
      </c>
      <c r="E22" s="101" t="s">
        <v>207</v>
      </c>
      <c r="F22" s="102">
        <v>435</v>
      </c>
      <c r="G22" s="102"/>
      <c r="H22" s="96" t="s">
        <v>97</v>
      </c>
      <c r="I22" s="101" t="s">
        <v>207</v>
      </c>
      <c r="J22" s="102">
        <v>557</v>
      </c>
      <c r="L22" s="96">
        <f t="shared" si="0"/>
        <v>71</v>
      </c>
      <c r="M22" s="96">
        <f>355/10</f>
        <v>35.5</v>
      </c>
      <c r="Q22" s="101" t="s">
        <v>97</v>
      </c>
      <c r="R22" s="101" t="str">
        <f t="shared" si="1"/>
        <v>TDH3355B Model eff. 43,5%</v>
      </c>
      <c r="S22" s="103">
        <v>0.435</v>
      </c>
    </row>
    <row r="23" spans="1:19">
      <c r="D23" s="101" t="s">
        <v>98</v>
      </c>
      <c r="E23" s="101" t="s">
        <v>208</v>
      </c>
      <c r="F23" s="102">
        <v>437.99999999999994</v>
      </c>
      <c r="G23" s="102"/>
      <c r="H23" s="96" t="s">
        <v>98</v>
      </c>
      <c r="I23" s="101" t="s">
        <v>208</v>
      </c>
      <c r="J23" s="102">
        <v>560</v>
      </c>
      <c r="L23" s="96">
        <f t="shared" si="0"/>
        <v>72</v>
      </c>
      <c r="M23" s="96">
        <v>36</v>
      </c>
      <c r="Q23" s="101" t="s">
        <v>98</v>
      </c>
      <c r="R23" s="101" t="str">
        <f t="shared" si="1"/>
        <v>TDH3360B Model eff. 43,8%</v>
      </c>
      <c r="S23" s="103">
        <v>0.43799999999999994</v>
      </c>
    </row>
    <row r="24" spans="1:19">
      <c r="A24" s="98"/>
      <c r="D24" s="96" t="s">
        <v>99</v>
      </c>
      <c r="E24" s="101" t="s">
        <v>209</v>
      </c>
      <c r="F24" s="102">
        <v>442</v>
      </c>
      <c r="G24" s="102"/>
      <c r="H24" s="96" t="s">
        <v>99</v>
      </c>
      <c r="I24" s="101" t="s">
        <v>209</v>
      </c>
      <c r="J24" s="102">
        <v>564</v>
      </c>
      <c r="L24" s="96">
        <f t="shared" si="0"/>
        <v>73</v>
      </c>
      <c r="M24" s="96">
        <f>365/10</f>
        <v>36.5</v>
      </c>
      <c r="Q24" s="96" t="s">
        <v>99</v>
      </c>
      <c r="R24" s="101" t="str">
        <f t="shared" si="1"/>
        <v>TDH3365B Model eff. 44,2%</v>
      </c>
      <c r="S24" s="103">
        <v>0.442</v>
      </c>
    </row>
    <row r="25" spans="1:19">
      <c r="A25" s="97" t="s">
        <v>84</v>
      </c>
      <c r="D25" s="96" t="s">
        <v>100</v>
      </c>
      <c r="E25" s="101" t="s">
        <v>210</v>
      </c>
      <c r="F25" s="102">
        <v>445</v>
      </c>
      <c r="G25" s="102"/>
      <c r="H25" s="96" t="s">
        <v>100</v>
      </c>
      <c r="I25" s="101" t="s">
        <v>210</v>
      </c>
      <c r="J25" s="102">
        <v>567</v>
      </c>
      <c r="L25" s="96">
        <f t="shared" si="0"/>
        <v>74</v>
      </c>
      <c r="M25" s="96">
        <v>37</v>
      </c>
      <c r="Q25" s="96" t="s">
        <v>100</v>
      </c>
      <c r="R25" s="101" t="str">
        <f t="shared" si="1"/>
        <v>TDH3370B Model eff. 44,5%</v>
      </c>
      <c r="S25" s="103">
        <v>0.44500000000000001</v>
      </c>
    </row>
    <row r="26" spans="1:19">
      <c r="A26" s="98">
        <v>1</v>
      </c>
      <c r="D26" s="96" t="s">
        <v>101</v>
      </c>
      <c r="E26" s="101" t="s">
        <v>211</v>
      </c>
      <c r="F26" s="102">
        <v>447.99999999999994</v>
      </c>
      <c r="G26" s="102"/>
      <c r="H26" s="96" t="s">
        <v>101</v>
      </c>
      <c r="I26" s="101" t="s">
        <v>211</v>
      </c>
      <c r="J26" s="102">
        <v>570</v>
      </c>
      <c r="L26" s="96">
        <f t="shared" si="0"/>
        <v>75</v>
      </c>
      <c r="M26" s="96">
        <f>375/10</f>
        <v>37.5</v>
      </c>
      <c r="Q26" s="96" t="s">
        <v>101</v>
      </c>
      <c r="R26" s="101" t="str">
        <f t="shared" si="1"/>
        <v>TDH3375B Model eff. 44,8%</v>
      </c>
      <c r="S26" s="103">
        <v>0.44799999999999995</v>
      </c>
    </row>
    <row r="27" spans="1:19">
      <c r="A27" s="98">
        <f>A26+1</f>
        <v>2</v>
      </c>
      <c r="D27" s="96" t="s">
        <v>102</v>
      </c>
      <c r="E27" s="101" t="s">
        <v>212</v>
      </c>
      <c r="F27" s="102">
        <v>452</v>
      </c>
      <c r="G27" s="102"/>
      <c r="H27" s="96" t="s">
        <v>102</v>
      </c>
      <c r="I27" s="101" t="s">
        <v>212</v>
      </c>
      <c r="J27" s="102">
        <v>574</v>
      </c>
      <c r="L27" s="96">
        <f t="shared" si="0"/>
        <v>76</v>
      </c>
      <c r="M27" s="96">
        <v>38</v>
      </c>
      <c r="Q27" s="96" t="s">
        <v>102</v>
      </c>
      <c r="R27" s="101" t="str">
        <f t="shared" si="1"/>
        <v>TDH3380B Model eff. 45,2%</v>
      </c>
      <c r="S27" s="103">
        <v>0.45200000000000001</v>
      </c>
    </row>
    <row r="28" spans="1:19">
      <c r="A28" s="98">
        <f t="shared" ref="A28:A40" si="2">A27+1</f>
        <v>3</v>
      </c>
      <c r="D28" s="96" t="s">
        <v>103</v>
      </c>
      <c r="E28" s="101" t="s">
        <v>213</v>
      </c>
      <c r="F28" s="102">
        <v>455</v>
      </c>
      <c r="G28" s="102"/>
      <c r="H28" s="96" t="s">
        <v>103</v>
      </c>
      <c r="I28" s="101" t="s">
        <v>213</v>
      </c>
      <c r="J28" s="102">
        <v>577</v>
      </c>
      <c r="L28" s="96">
        <f t="shared" si="0"/>
        <v>77</v>
      </c>
      <c r="M28" s="96">
        <f>385/10</f>
        <v>38.5</v>
      </c>
      <c r="Q28" s="96" t="s">
        <v>103</v>
      </c>
      <c r="R28" s="101" t="str">
        <f t="shared" si="1"/>
        <v>TDH3385B Model eff. 45,5%</v>
      </c>
      <c r="S28" s="103">
        <v>0.45500000000000002</v>
      </c>
    </row>
    <row r="29" spans="1:19">
      <c r="A29" s="98">
        <f t="shared" si="2"/>
        <v>4</v>
      </c>
      <c r="D29" s="96" t="s">
        <v>104</v>
      </c>
      <c r="E29" s="101" t="s">
        <v>214</v>
      </c>
      <c r="F29" s="102">
        <v>457.99999999999994</v>
      </c>
      <c r="G29" s="102"/>
      <c r="H29" s="96" t="s">
        <v>104</v>
      </c>
      <c r="I29" s="101" t="s">
        <v>214</v>
      </c>
      <c r="J29" s="102">
        <v>580</v>
      </c>
      <c r="L29" s="96">
        <f t="shared" si="0"/>
        <v>78</v>
      </c>
      <c r="M29" s="96">
        <v>39</v>
      </c>
      <c r="Q29" s="96" t="s">
        <v>104</v>
      </c>
      <c r="R29" s="101" t="str">
        <f t="shared" si="1"/>
        <v>TDH3390B Model eff. 45,8%</v>
      </c>
      <c r="S29" s="103">
        <v>0.45799999999999996</v>
      </c>
    </row>
    <row r="30" spans="1:19">
      <c r="A30" s="98">
        <f t="shared" si="2"/>
        <v>5</v>
      </c>
      <c r="D30" s="96" t="s">
        <v>71</v>
      </c>
      <c r="E30" s="101" t="s">
        <v>215</v>
      </c>
      <c r="F30" s="102">
        <v>461</v>
      </c>
      <c r="G30" s="102"/>
      <c r="H30" s="96" t="s">
        <v>71</v>
      </c>
      <c r="I30" s="101" t="s">
        <v>215</v>
      </c>
      <c r="J30" s="102">
        <v>583</v>
      </c>
      <c r="L30" s="96">
        <f t="shared" si="0"/>
        <v>79</v>
      </c>
      <c r="M30" s="96">
        <f>395/10</f>
        <v>39.5</v>
      </c>
      <c r="Q30" s="96" t="s">
        <v>71</v>
      </c>
      <c r="R30" s="101" t="str">
        <f t="shared" si="1"/>
        <v>TDH3395B Model eff. 46,1%</v>
      </c>
      <c r="S30" s="103">
        <v>0.46100000000000002</v>
      </c>
    </row>
    <row r="31" spans="1:19">
      <c r="A31" s="98">
        <f t="shared" si="2"/>
        <v>6</v>
      </c>
      <c r="D31" s="96" t="s">
        <v>105</v>
      </c>
      <c r="E31" s="101" t="s">
        <v>199</v>
      </c>
      <c r="F31" s="102">
        <v>463.99999999999994</v>
      </c>
      <c r="G31" s="102"/>
      <c r="H31" s="96" t="s">
        <v>105</v>
      </c>
      <c r="I31" s="101" t="s">
        <v>199</v>
      </c>
      <c r="J31" s="102">
        <v>586</v>
      </c>
      <c r="L31" s="96">
        <f t="shared" si="0"/>
        <v>80</v>
      </c>
      <c r="M31" s="96">
        <v>40</v>
      </c>
      <c r="Q31" s="96" t="s">
        <v>105</v>
      </c>
      <c r="R31" s="101" t="str">
        <f t="shared" si="1"/>
        <v>TDH3400B Model eff. 46,4%</v>
      </c>
      <c r="S31" s="103">
        <v>0.46399999999999997</v>
      </c>
    </row>
    <row r="32" spans="1:19">
      <c r="A32" s="98">
        <f t="shared" si="2"/>
        <v>7</v>
      </c>
      <c r="D32" s="96" t="s">
        <v>106</v>
      </c>
      <c r="E32" s="101" t="s">
        <v>216</v>
      </c>
      <c r="F32" s="102">
        <v>468</v>
      </c>
      <c r="G32" s="102"/>
      <c r="Q32" s="96" t="s">
        <v>106</v>
      </c>
      <c r="R32" s="101" t="str">
        <f t="shared" si="1"/>
        <v>TDH3405B Model eff. 46,8%</v>
      </c>
      <c r="S32" s="103">
        <v>0.46799999999999997</v>
      </c>
    </row>
    <row r="33" spans="1:19">
      <c r="A33" s="98">
        <f t="shared" si="2"/>
        <v>8</v>
      </c>
      <c r="D33" s="96" t="s">
        <v>107</v>
      </c>
      <c r="E33" s="101" t="s">
        <v>217</v>
      </c>
      <c r="F33" s="102">
        <v>471.00000000000006</v>
      </c>
      <c r="G33" s="102"/>
      <c r="Q33" s="96" t="s">
        <v>107</v>
      </c>
      <c r="R33" s="101" t="str">
        <f t="shared" si="1"/>
        <v>TDH3410B Model eff. 47,1%</v>
      </c>
      <c r="S33" s="103">
        <v>0.47100000000000003</v>
      </c>
    </row>
    <row r="34" spans="1:19">
      <c r="A34" s="98">
        <f t="shared" si="2"/>
        <v>9</v>
      </c>
      <c r="D34" s="96" t="s">
        <v>108</v>
      </c>
      <c r="E34" s="101" t="s">
        <v>218</v>
      </c>
      <c r="F34" s="102">
        <v>474</v>
      </c>
      <c r="G34" s="102"/>
      <c r="Q34" s="96" t="s">
        <v>108</v>
      </c>
      <c r="R34" s="101" t="str">
        <f t="shared" si="1"/>
        <v>TDH3415B Model eff. 47,4%</v>
      </c>
      <c r="S34" s="103">
        <v>0.47399999999999998</v>
      </c>
    </row>
    <row r="35" spans="1:19">
      <c r="A35" s="98">
        <f t="shared" si="2"/>
        <v>10</v>
      </c>
      <c r="D35" s="96" t="s">
        <v>109</v>
      </c>
      <c r="E35" s="101" t="s">
        <v>219</v>
      </c>
      <c r="F35" s="102">
        <v>477.00000000000006</v>
      </c>
      <c r="G35" s="102"/>
      <c r="Q35" s="96" t="s">
        <v>109</v>
      </c>
      <c r="R35" s="101" t="str">
        <f t="shared" si="1"/>
        <v>TDH3420B Model eff. 47,7%</v>
      </c>
      <c r="S35" s="103">
        <v>0.47700000000000004</v>
      </c>
    </row>
    <row r="36" spans="1:19">
      <c r="A36" s="98">
        <f t="shared" si="2"/>
        <v>11</v>
      </c>
      <c r="D36" s="96" t="s">
        <v>110</v>
      </c>
      <c r="E36" s="101" t="s">
        <v>220</v>
      </c>
      <c r="F36" s="102">
        <v>480</v>
      </c>
      <c r="G36" s="102"/>
      <c r="Q36" s="96" t="s">
        <v>110</v>
      </c>
      <c r="R36" s="101" t="str">
        <f t="shared" si="1"/>
        <v>TDH3425B Model eff. 48%</v>
      </c>
      <c r="S36" s="103">
        <v>0.48</v>
      </c>
    </row>
    <row r="37" spans="1:19">
      <c r="A37" s="98">
        <f t="shared" si="2"/>
        <v>12</v>
      </c>
      <c r="D37" s="96" t="s">
        <v>111</v>
      </c>
      <c r="E37" s="101" t="s">
        <v>221</v>
      </c>
      <c r="F37" s="102">
        <v>483</v>
      </c>
      <c r="G37" s="102"/>
      <c r="Q37" s="96" t="s">
        <v>111</v>
      </c>
      <c r="R37" s="101" t="str">
        <f t="shared" si="1"/>
        <v>TDH3430B Model eff. 48,3%</v>
      </c>
      <c r="S37" s="103">
        <v>0.48299999999999998</v>
      </c>
    </row>
    <row r="38" spans="1:19">
      <c r="A38" s="98">
        <f t="shared" si="2"/>
        <v>13</v>
      </c>
      <c r="D38" s="96" t="s">
        <v>112</v>
      </c>
      <c r="E38" s="101" t="s">
        <v>222</v>
      </c>
      <c r="F38" s="102">
        <v>486</v>
      </c>
      <c r="G38" s="102"/>
      <c r="Q38" s="96" t="s">
        <v>112</v>
      </c>
      <c r="R38" s="101" t="str">
        <f t="shared" si="1"/>
        <v>TDH3435B Model eff. 48,6%</v>
      </c>
      <c r="S38" s="103">
        <v>0.48599999999999999</v>
      </c>
    </row>
    <row r="39" spans="1:19">
      <c r="A39" s="98">
        <f t="shared" si="2"/>
        <v>14</v>
      </c>
      <c r="D39" s="96" t="s">
        <v>113</v>
      </c>
      <c r="E39" s="101" t="s">
        <v>223</v>
      </c>
      <c r="F39" s="102">
        <v>488</v>
      </c>
      <c r="G39" s="102"/>
      <c r="Q39" s="96" t="s">
        <v>113</v>
      </c>
      <c r="R39" s="101" t="str">
        <f t="shared" si="1"/>
        <v>TDH3440B Model eff. 48,8%</v>
      </c>
      <c r="S39" s="103">
        <v>0.48799999999999999</v>
      </c>
    </row>
    <row r="40" spans="1:19">
      <c r="A40" s="98">
        <f t="shared" si="2"/>
        <v>15</v>
      </c>
      <c r="D40" s="96" t="s">
        <v>114</v>
      </c>
      <c r="E40" s="101" t="s">
        <v>224</v>
      </c>
      <c r="F40" s="102">
        <v>491</v>
      </c>
      <c r="G40" s="102"/>
      <c r="Q40" s="96" t="s">
        <v>114</v>
      </c>
      <c r="R40" s="101" t="str">
        <f t="shared" si="1"/>
        <v>TDH3445B Model eff. 49,1%</v>
      </c>
      <c r="S40" s="103">
        <v>0.49099999999999999</v>
      </c>
    </row>
    <row r="41" spans="1:19">
      <c r="A41" s="98"/>
      <c r="D41" s="96" t="s">
        <v>115</v>
      </c>
      <c r="E41" s="101" t="s">
        <v>225</v>
      </c>
      <c r="F41" s="102">
        <v>494</v>
      </c>
      <c r="G41" s="102"/>
      <c r="Q41" s="96" t="s">
        <v>115</v>
      </c>
      <c r="R41" s="101" t="str">
        <f t="shared" si="1"/>
        <v>TDH3450B Model eff. 49,4%</v>
      </c>
      <c r="S41" s="103">
        <v>0.49399999999999999</v>
      </c>
    </row>
    <row r="42" spans="1:19">
      <c r="A42" s="98"/>
      <c r="D42" s="96" t="s">
        <v>116</v>
      </c>
      <c r="E42" s="101" t="s">
        <v>226</v>
      </c>
      <c r="F42" s="102">
        <v>497.00000000000006</v>
      </c>
      <c r="G42" s="102"/>
      <c r="Q42" s="96" t="s">
        <v>116</v>
      </c>
      <c r="R42" s="101" t="str">
        <f t="shared" si="1"/>
        <v>TDH3455B Model eff. 49,7%</v>
      </c>
      <c r="S42" s="103">
        <v>0.49700000000000005</v>
      </c>
    </row>
    <row r="43" spans="1:19">
      <c r="A43" s="105"/>
      <c r="D43" s="96" t="s">
        <v>117</v>
      </c>
      <c r="E43" s="101" t="s">
        <v>227</v>
      </c>
      <c r="F43" s="102">
        <v>500</v>
      </c>
      <c r="G43" s="102"/>
      <c r="Q43" s="96" t="s">
        <v>117</v>
      </c>
      <c r="R43" s="101" t="str">
        <f t="shared" si="1"/>
        <v>TDH3460B Model eff. 50%</v>
      </c>
      <c r="S43" s="103">
        <v>0.5</v>
      </c>
    </row>
    <row r="44" spans="1:19">
      <c r="A44" s="105" t="s">
        <v>85</v>
      </c>
      <c r="D44" s="96" t="s">
        <v>118</v>
      </c>
      <c r="E44" s="101" t="s">
        <v>228</v>
      </c>
      <c r="F44" s="102">
        <v>502</v>
      </c>
      <c r="G44" s="102"/>
      <c r="Q44" s="96" t="s">
        <v>118</v>
      </c>
      <c r="R44" s="101" t="str">
        <f t="shared" si="1"/>
        <v>TDH3465B Model eff. 50,2%</v>
      </c>
      <c r="S44" s="103">
        <v>0.502</v>
      </c>
    </row>
    <row r="45" spans="1:19">
      <c r="A45" s="106">
        <v>0</v>
      </c>
      <c r="D45" s="96" t="s">
        <v>119</v>
      </c>
      <c r="E45" s="101" t="s">
        <v>229</v>
      </c>
      <c r="F45" s="102">
        <v>505</v>
      </c>
      <c r="G45" s="102"/>
      <c r="Q45" s="96" t="s">
        <v>119</v>
      </c>
      <c r="R45" s="101" t="str">
        <f t="shared" si="1"/>
        <v>TDH3470B Model eff. 50,5%</v>
      </c>
      <c r="S45" s="103">
        <v>0.505</v>
      </c>
    </row>
    <row r="46" spans="1:19">
      <c r="A46" s="106">
        <v>3</v>
      </c>
      <c r="D46" s="96" t="s">
        <v>120</v>
      </c>
      <c r="E46" s="101" t="s">
        <v>230</v>
      </c>
      <c r="F46" s="102">
        <v>508</v>
      </c>
      <c r="G46" s="102"/>
      <c r="Q46" s="96" t="s">
        <v>120</v>
      </c>
      <c r="R46" s="101" t="str">
        <f t="shared" si="1"/>
        <v>TDH3475B Model eff. 50,8%</v>
      </c>
      <c r="S46" s="103">
        <v>0.50800000000000001</v>
      </c>
    </row>
    <row r="47" spans="1:19">
      <c r="A47" s="106">
        <v>5</v>
      </c>
      <c r="D47" s="96" t="s">
        <v>121</v>
      </c>
      <c r="E47" s="101" t="s">
        <v>231</v>
      </c>
      <c r="F47" s="102">
        <v>510</v>
      </c>
      <c r="G47" s="102"/>
      <c r="Q47" s="96" t="s">
        <v>121</v>
      </c>
      <c r="R47" s="101" t="str">
        <f t="shared" si="1"/>
        <v>TDH3480B Model eff. 51%</v>
      </c>
      <c r="S47" s="103">
        <v>0.51</v>
      </c>
    </row>
    <row r="48" spans="1:19">
      <c r="A48" s="106">
        <v>8</v>
      </c>
      <c r="D48" s="96" t="s">
        <v>72</v>
      </c>
      <c r="E48" s="101" t="s">
        <v>232</v>
      </c>
      <c r="F48" s="102">
        <v>513</v>
      </c>
      <c r="G48" s="102"/>
      <c r="Q48" s="96" t="s">
        <v>72</v>
      </c>
      <c r="R48" s="101" t="str">
        <f t="shared" si="1"/>
        <v>TDH3485B Model eff. 51,3%</v>
      </c>
      <c r="S48" s="103">
        <v>0.51300000000000001</v>
      </c>
    </row>
    <row r="49" spans="1:19">
      <c r="A49" s="106">
        <v>10</v>
      </c>
      <c r="D49" s="96" t="s">
        <v>122</v>
      </c>
      <c r="E49" s="101" t="s">
        <v>233</v>
      </c>
      <c r="F49" s="102">
        <v>516</v>
      </c>
      <c r="G49" s="102"/>
      <c r="Q49" s="96" t="s">
        <v>122</v>
      </c>
      <c r="R49" s="101" t="str">
        <f t="shared" si="1"/>
        <v>TDH3490B Model eff. 51,6%</v>
      </c>
      <c r="S49" s="103">
        <v>0.51600000000000001</v>
      </c>
    </row>
    <row r="50" spans="1:19">
      <c r="A50" s="106">
        <v>13</v>
      </c>
      <c r="D50" s="96" t="s">
        <v>123</v>
      </c>
      <c r="E50" s="101" t="s">
        <v>234</v>
      </c>
      <c r="F50" s="102">
        <v>518</v>
      </c>
      <c r="G50" s="102"/>
      <c r="Q50" s="96" t="s">
        <v>123</v>
      </c>
      <c r="R50" s="101" t="str">
        <f t="shared" si="1"/>
        <v>TDH3495B Model eff. 51,8%</v>
      </c>
      <c r="S50" s="103">
        <v>0.51800000000000002</v>
      </c>
    </row>
    <row r="51" spans="1:19">
      <c r="A51" s="106">
        <v>15</v>
      </c>
      <c r="D51" s="96" t="s">
        <v>124</v>
      </c>
      <c r="E51" s="101" t="s">
        <v>235</v>
      </c>
      <c r="F51" s="102">
        <v>521</v>
      </c>
      <c r="G51" s="102"/>
      <c r="Q51" s="96" t="s">
        <v>124</v>
      </c>
      <c r="R51" s="101" t="str">
        <f t="shared" si="1"/>
        <v>TDH3500B Model eff. 52,1%</v>
      </c>
      <c r="S51" s="103">
        <v>0.52100000000000002</v>
      </c>
    </row>
    <row r="52" spans="1:19">
      <c r="A52" s="106">
        <v>18</v>
      </c>
      <c r="D52" s="96" t="s">
        <v>125</v>
      </c>
      <c r="E52" s="101" t="s">
        <v>236</v>
      </c>
      <c r="F52" s="102">
        <v>523</v>
      </c>
      <c r="G52" s="102"/>
      <c r="Q52" s="96" t="s">
        <v>125</v>
      </c>
      <c r="R52" s="101" t="str">
        <f t="shared" si="1"/>
        <v>TDH3505B Model eff. 52,3%</v>
      </c>
      <c r="S52" s="103">
        <v>0.52300000000000002</v>
      </c>
    </row>
    <row r="53" spans="1:19">
      <c r="A53" s="106">
        <v>20</v>
      </c>
      <c r="D53" s="96" t="s">
        <v>126</v>
      </c>
      <c r="E53" s="101" t="s">
        <v>237</v>
      </c>
      <c r="F53" s="102">
        <v>526</v>
      </c>
      <c r="G53" s="102"/>
      <c r="Q53" s="96" t="s">
        <v>126</v>
      </c>
      <c r="R53" s="101" t="str">
        <f t="shared" si="1"/>
        <v>TDH3510B Model eff. 52,6%</v>
      </c>
      <c r="S53" s="103">
        <v>0.52600000000000002</v>
      </c>
    </row>
    <row r="54" spans="1:19">
      <c r="A54" s="106">
        <v>23</v>
      </c>
      <c r="D54" s="96" t="s">
        <v>127</v>
      </c>
      <c r="E54" s="101" t="s">
        <v>238</v>
      </c>
      <c r="F54" s="102">
        <v>528</v>
      </c>
      <c r="G54" s="102"/>
      <c r="Q54" s="96" t="s">
        <v>127</v>
      </c>
      <c r="R54" s="101" t="str">
        <f t="shared" si="1"/>
        <v>TDH3515B Model eff. 52,8%</v>
      </c>
      <c r="S54" s="103">
        <v>0.52800000000000002</v>
      </c>
    </row>
    <row r="55" spans="1:19">
      <c r="A55" s="106">
        <v>25</v>
      </c>
      <c r="D55" s="96" t="s">
        <v>128</v>
      </c>
      <c r="E55" s="101" t="s">
        <v>239</v>
      </c>
      <c r="F55" s="102">
        <v>530</v>
      </c>
      <c r="G55" s="102"/>
      <c r="Q55" s="96" t="s">
        <v>128</v>
      </c>
      <c r="R55" s="101" t="str">
        <f t="shared" si="1"/>
        <v>TDH3520B Model eff. 53%</v>
      </c>
      <c r="S55" s="103">
        <v>0.53</v>
      </c>
    </row>
    <row r="56" spans="1:19">
      <c r="A56" s="106">
        <v>28</v>
      </c>
      <c r="D56" s="96" t="s">
        <v>129</v>
      </c>
      <c r="E56" s="101" t="s">
        <v>240</v>
      </c>
      <c r="F56" s="102">
        <v>532.99999999999989</v>
      </c>
      <c r="G56" s="102"/>
      <c r="Q56" s="96" t="s">
        <v>129</v>
      </c>
      <c r="R56" s="101" t="str">
        <f t="shared" si="1"/>
        <v>TDH3525B Model eff. 53,3%</v>
      </c>
      <c r="S56" s="103">
        <v>0.53299999999999992</v>
      </c>
    </row>
    <row r="57" spans="1:19">
      <c r="A57" s="106">
        <v>30</v>
      </c>
      <c r="D57" s="96" t="s">
        <v>130</v>
      </c>
      <c r="E57" s="101" t="s">
        <v>241</v>
      </c>
      <c r="F57" s="102">
        <v>535</v>
      </c>
      <c r="G57" s="102"/>
      <c r="Q57" s="96" t="s">
        <v>130</v>
      </c>
      <c r="R57" s="101" t="str">
        <f t="shared" si="1"/>
        <v>TDH3530B Model eff. 53,5%</v>
      </c>
      <c r="S57" s="103">
        <v>0.53500000000000003</v>
      </c>
    </row>
    <row r="58" spans="1:19">
      <c r="A58" s="106">
        <v>60</v>
      </c>
      <c r="B58" s="96">
        <v>0.58399999999999996</v>
      </c>
      <c r="C58" s="107">
        <v>4.5</v>
      </c>
      <c r="D58" s="96" t="s">
        <v>131</v>
      </c>
      <c r="E58" s="101" t="s">
        <v>242</v>
      </c>
      <c r="F58" s="102">
        <v>537</v>
      </c>
      <c r="G58" s="102"/>
      <c r="Q58" s="96" t="s">
        <v>131</v>
      </c>
      <c r="R58" s="101" t="str">
        <f t="shared" si="1"/>
        <v>TDH3535B Model eff. 53,7%</v>
      </c>
      <c r="S58" s="103">
        <v>0.53700000000000003</v>
      </c>
    </row>
    <row r="59" spans="1:19">
      <c r="A59" s="98"/>
      <c r="D59" s="96" t="s">
        <v>132</v>
      </c>
      <c r="E59" s="101" t="s">
        <v>243</v>
      </c>
      <c r="F59" s="102">
        <v>540</v>
      </c>
      <c r="G59" s="102"/>
      <c r="Q59" s="96" t="s">
        <v>132</v>
      </c>
      <c r="R59" s="101" t="str">
        <f t="shared" si="1"/>
        <v>TDH3540B Model eff. 54%</v>
      </c>
      <c r="S59" s="103">
        <v>0.54</v>
      </c>
    </row>
    <row r="60" spans="1:19">
      <c r="A60" s="98"/>
      <c r="D60" s="96" t="s">
        <v>133</v>
      </c>
      <c r="E60" s="101" t="s">
        <v>244</v>
      </c>
      <c r="F60" s="102">
        <v>542</v>
      </c>
      <c r="G60" s="102"/>
      <c r="Q60" s="96" t="s">
        <v>133</v>
      </c>
      <c r="R60" s="101" t="str">
        <f t="shared" si="1"/>
        <v>TDH3545B Model eff. 54,2%</v>
      </c>
      <c r="S60" s="103">
        <v>0.54200000000000004</v>
      </c>
    </row>
    <row r="61" spans="1:19">
      <c r="A61" s="98"/>
      <c r="D61" s="96" t="s">
        <v>73</v>
      </c>
      <c r="E61" s="101" t="s">
        <v>245</v>
      </c>
      <c r="F61" s="102">
        <v>544</v>
      </c>
      <c r="G61" s="102"/>
      <c r="Q61" s="96" t="s">
        <v>73</v>
      </c>
      <c r="R61" s="101" t="str">
        <f t="shared" si="1"/>
        <v>TDH3550B Model eff. 54,4%</v>
      </c>
      <c r="S61" s="103">
        <v>0.54400000000000004</v>
      </c>
    </row>
    <row r="62" spans="1:19">
      <c r="A62" s="98"/>
      <c r="D62" s="96" t="s">
        <v>134</v>
      </c>
      <c r="E62" s="101" t="s">
        <v>246</v>
      </c>
      <c r="F62" s="102">
        <v>546</v>
      </c>
      <c r="G62" s="102"/>
      <c r="Q62" s="96" t="s">
        <v>134</v>
      </c>
      <c r="R62" s="101" t="str">
        <f t="shared" si="1"/>
        <v>TDH3555B Model eff. 54,6%</v>
      </c>
      <c r="S62" s="103">
        <v>0.54600000000000004</v>
      </c>
    </row>
    <row r="63" spans="1:19">
      <c r="A63" s="98"/>
      <c r="D63" s="96" t="s">
        <v>135</v>
      </c>
      <c r="E63" s="101" t="s">
        <v>247</v>
      </c>
      <c r="F63" s="102">
        <v>547.99999999999989</v>
      </c>
      <c r="G63" s="102"/>
      <c r="Q63" s="96" t="s">
        <v>135</v>
      </c>
      <c r="R63" s="101" t="str">
        <f t="shared" si="1"/>
        <v>TDH3560B Model eff. 54,8%</v>
      </c>
      <c r="S63" s="103">
        <v>0.54799999999999993</v>
      </c>
    </row>
    <row r="64" spans="1:19">
      <c r="A64" s="98" t="s">
        <v>32</v>
      </c>
      <c r="D64" s="96" t="s">
        <v>136</v>
      </c>
      <c r="E64" s="101" t="s">
        <v>248</v>
      </c>
      <c r="F64" s="102">
        <v>551</v>
      </c>
      <c r="G64" s="102"/>
      <c r="Q64" s="96" t="s">
        <v>136</v>
      </c>
      <c r="R64" s="101" t="str">
        <f t="shared" si="1"/>
        <v>TDH3565B Model eff. 55,1%</v>
      </c>
      <c r="S64" s="103">
        <v>0.55100000000000005</v>
      </c>
    </row>
    <row r="65" spans="1:19">
      <c r="A65" s="98" t="s">
        <v>22</v>
      </c>
      <c r="D65" s="96" t="s">
        <v>137</v>
      </c>
      <c r="E65" s="101" t="s">
        <v>249</v>
      </c>
      <c r="F65" s="102">
        <v>552.99999999999989</v>
      </c>
      <c r="G65" s="102"/>
      <c r="Q65" s="96" t="s">
        <v>137</v>
      </c>
      <c r="R65" s="101" t="str">
        <f t="shared" si="1"/>
        <v>TDH3570B Model eff. 55,3%</v>
      </c>
      <c r="S65" s="103">
        <v>0.55299999999999994</v>
      </c>
    </row>
    <row r="66" spans="1:19">
      <c r="A66" s="98" t="s">
        <v>33</v>
      </c>
      <c r="D66" s="96" t="s">
        <v>138</v>
      </c>
      <c r="E66" s="101" t="s">
        <v>250</v>
      </c>
      <c r="F66" s="102">
        <v>555</v>
      </c>
      <c r="G66" s="102"/>
      <c r="Q66" s="96" t="s">
        <v>138</v>
      </c>
      <c r="R66" s="101" t="str">
        <f t="shared" si="1"/>
        <v>TDH3575B Model eff. 55,5%</v>
      </c>
      <c r="S66" s="103">
        <v>0.55500000000000005</v>
      </c>
    </row>
    <row r="67" spans="1:19">
      <c r="A67" s="98" t="s">
        <v>34</v>
      </c>
      <c r="D67" s="96" t="s">
        <v>139</v>
      </c>
      <c r="E67" s="101" t="s">
        <v>251</v>
      </c>
      <c r="F67" s="102">
        <v>557</v>
      </c>
      <c r="G67" s="102"/>
      <c r="Q67" s="96" t="s">
        <v>139</v>
      </c>
      <c r="R67" s="101" t="str">
        <f t="shared" si="1"/>
        <v>TDH3580B Model eff. 55,7%</v>
      </c>
      <c r="S67" s="103">
        <v>0.55700000000000005</v>
      </c>
    </row>
    <row r="68" spans="1:19">
      <c r="D68" s="96" t="s">
        <v>140</v>
      </c>
      <c r="E68" s="101" t="s">
        <v>252</v>
      </c>
      <c r="F68" s="102">
        <v>558.99999999999989</v>
      </c>
      <c r="G68" s="102"/>
      <c r="Q68" s="96" t="s">
        <v>140</v>
      </c>
      <c r="R68" s="101" t="str">
        <f t="shared" si="1"/>
        <v>TDH3585B Model eff. 55,9%</v>
      </c>
      <c r="S68" s="103">
        <v>0.55899999999999994</v>
      </c>
    </row>
    <row r="69" spans="1:19">
      <c r="D69" s="96" t="s">
        <v>141</v>
      </c>
      <c r="E69" s="101" t="s">
        <v>253</v>
      </c>
      <c r="F69" s="102">
        <v>561</v>
      </c>
      <c r="G69" s="102"/>
      <c r="Q69" s="96" t="s">
        <v>141</v>
      </c>
      <c r="R69" s="101" t="str">
        <f t="shared" si="1"/>
        <v>TDH3590B Model eff. 56,1%</v>
      </c>
      <c r="S69" s="103">
        <v>0.56100000000000005</v>
      </c>
    </row>
    <row r="70" spans="1:19">
      <c r="A70" s="96" t="s">
        <v>62</v>
      </c>
      <c r="D70" s="96" t="s">
        <v>142</v>
      </c>
      <c r="E70" s="101" t="s">
        <v>254</v>
      </c>
      <c r="F70" s="102">
        <v>563</v>
      </c>
      <c r="G70" s="102"/>
      <c r="Q70" s="96" t="s">
        <v>142</v>
      </c>
      <c r="R70" s="101" t="str">
        <f t="shared" si="1"/>
        <v>TDH3595B Model eff. 56,3%</v>
      </c>
      <c r="S70" s="103">
        <v>0.56299999999999994</v>
      </c>
    </row>
    <row r="71" spans="1:19">
      <c r="A71" s="108">
        <v>0</v>
      </c>
      <c r="D71" s="96" t="s">
        <v>143</v>
      </c>
      <c r="E71" s="101" t="s">
        <v>255</v>
      </c>
      <c r="F71" s="102">
        <v>564</v>
      </c>
      <c r="G71" s="102"/>
      <c r="Q71" s="96" t="s">
        <v>143</v>
      </c>
      <c r="R71" s="101" t="str">
        <f t="shared" si="1"/>
        <v>TDH3600B Model eff. 56,4%</v>
      </c>
      <c r="S71" s="103">
        <v>0.56399999999999995</v>
      </c>
    </row>
    <row r="72" spans="1:19">
      <c r="A72" s="109">
        <v>2.5000000000000001E-3</v>
      </c>
      <c r="D72" s="96" t="s">
        <v>144</v>
      </c>
      <c r="E72" s="101" t="s">
        <v>256</v>
      </c>
      <c r="F72" s="102">
        <v>566.00000000000011</v>
      </c>
      <c r="G72" s="102"/>
      <c r="Q72" s="96" t="s">
        <v>144</v>
      </c>
      <c r="R72" s="101" t="str">
        <f t="shared" si="1"/>
        <v>TDH3605B Model eff. 56,6%</v>
      </c>
      <c r="S72" s="103">
        <v>0.56600000000000006</v>
      </c>
    </row>
    <row r="73" spans="1:19">
      <c r="A73" s="109">
        <f t="shared" ref="A73:A87" si="3">A72+0.25%</f>
        <v>5.0000000000000001E-3</v>
      </c>
      <c r="D73" s="96" t="s">
        <v>145</v>
      </c>
      <c r="E73" s="101" t="s">
        <v>257</v>
      </c>
      <c r="F73" s="102">
        <v>568</v>
      </c>
      <c r="G73" s="102"/>
      <c r="Q73" s="96" t="s">
        <v>145</v>
      </c>
      <c r="R73" s="101" t="str">
        <f t="shared" si="1"/>
        <v>TDH3610B Model eff. 56,8%</v>
      </c>
      <c r="S73" s="103">
        <v>0.56799999999999995</v>
      </c>
    </row>
    <row r="74" spans="1:19">
      <c r="A74" s="109">
        <f t="shared" si="3"/>
        <v>7.4999999999999997E-3</v>
      </c>
      <c r="D74" s="96" t="s">
        <v>146</v>
      </c>
      <c r="E74" s="101" t="s">
        <v>258</v>
      </c>
      <c r="F74" s="102">
        <v>570</v>
      </c>
      <c r="G74" s="102"/>
      <c r="Q74" s="96" t="s">
        <v>146</v>
      </c>
      <c r="R74" s="101" t="str">
        <f t="shared" si="1"/>
        <v>TDH3615B Model eff. 57%</v>
      </c>
      <c r="S74" s="103">
        <v>0.56999999999999995</v>
      </c>
    </row>
    <row r="75" spans="1:19">
      <c r="A75" s="109">
        <f t="shared" si="3"/>
        <v>0.01</v>
      </c>
      <c r="D75" s="96" t="s">
        <v>156</v>
      </c>
      <c r="E75" s="101" t="s">
        <v>200</v>
      </c>
      <c r="F75" s="102">
        <v>572.00000000000011</v>
      </c>
      <c r="G75" s="102"/>
      <c r="Q75" s="96" t="s">
        <v>156</v>
      </c>
      <c r="R75" s="101" t="str">
        <f t="shared" si="1"/>
        <v>*TDH3620B* Model eff. 57,2%</v>
      </c>
      <c r="S75" s="103">
        <v>0.57200000000000006</v>
      </c>
    </row>
    <row r="76" spans="1:19">
      <c r="A76" s="109">
        <f t="shared" si="3"/>
        <v>1.2500000000000001E-2</v>
      </c>
    </row>
    <row r="77" spans="1:19">
      <c r="A77" s="109">
        <f t="shared" si="3"/>
        <v>1.5000000000000001E-2</v>
      </c>
    </row>
    <row r="78" spans="1:19">
      <c r="A78" s="109">
        <f t="shared" si="3"/>
        <v>1.7500000000000002E-2</v>
      </c>
    </row>
    <row r="79" spans="1:19">
      <c r="A79" s="109">
        <f t="shared" si="3"/>
        <v>0.02</v>
      </c>
    </row>
    <row r="80" spans="1:19">
      <c r="A80" s="109">
        <f t="shared" si="3"/>
        <v>2.2499999999999999E-2</v>
      </c>
    </row>
    <row r="81" spans="1:11">
      <c r="A81" s="109">
        <f t="shared" si="3"/>
        <v>2.4999999999999998E-2</v>
      </c>
    </row>
    <row r="82" spans="1:11">
      <c r="A82" s="109">
        <f t="shared" si="3"/>
        <v>2.7499999999999997E-2</v>
      </c>
    </row>
    <row r="83" spans="1:11">
      <c r="A83" s="109">
        <f t="shared" si="3"/>
        <v>2.9999999999999995E-2</v>
      </c>
    </row>
    <row r="84" spans="1:11">
      <c r="A84" s="109">
        <f t="shared" si="3"/>
        <v>3.2499999999999994E-2</v>
      </c>
      <c r="C84" s="118" t="s">
        <v>191</v>
      </c>
      <c r="D84" s="110"/>
      <c r="E84" s="117" t="s">
        <v>178</v>
      </c>
      <c r="F84" s="117" t="s">
        <v>179</v>
      </c>
      <c r="G84" s="117"/>
      <c r="H84" s="117" t="s">
        <v>180</v>
      </c>
      <c r="I84" s="117" t="s">
        <v>181</v>
      </c>
      <c r="J84" s="117" t="s">
        <v>182</v>
      </c>
      <c r="K84" s="117" t="s">
        <v>183</v>
      </c>
    </row>
    <row r="85" spans="1:11">
      <c r="A85" s="109">
        <f t="shared" si="3"/>
        <v>3.4999999999999996E-2</v>
      </c>
      <c r="C85" s="119"/>
      <c r="D85" s="112"/>
      <c r="E85" s="117"/>
      <c r="F85" s="117"/>
      <c r="G85" s="117"/>
      <c r="H85" s="117"/>
      <c r="I85" s="117"/>
      <c r="J85" s="117"/>
      <c r="K85" s="117"/>
    </row>
    <row r="86" spans="1:11">
      <c r="A86" s="109">
        <f t="shared" si="3"/>
        <v>3.7499999999999999E-2</v>
      </c>
      <c r="C86" s="113" t="s">
        <v>184</v>
      </c>
      <c r="D86" s="113"/>
      <c r="E86" s="111" t="s">
        <v>185</v>
      </c>
      <c r="F86" s="111" t="s">
        <v>185</v>
      </c>
      <c r="G86" s="111"/>
      <c r="H86" s="111" t="s">
        <v>186</v>
      </c>
      <c r="I86" s="111" t="s">
        <v>186</v>
      </c>
      <c r="J86" s="111" t="s">
        <v>186</v>
      </c>
      <c r="K86" s="111" t="s">
        <v>186</v>
      </c>
    </row>
    <row r="87" spans="1:11">
      <c r="A87" s="109">
        <f t="shared" si="3"/>
        <v>0.04</v>
      </c>
      <c r="C87" s="113" t="s">
        <v>187</v>
      </c>
      <c r="D87" s="113"/>
      <c r="E87" s="111">
        <v>1</v>
      </c>
      <c r="F87" s="111">
        <v>1</v>
      </c>
      <c r="G87" s="111"/>
      <c r="H87" s="111">
        <v>1</v>
      </c>
      <c r="I87" s="111">
        <v>2</v>
      </c>
      <c r="J87" s="111">
        <v>2</v>
      </c>
      <c r="K87" s="111">
        <v>2</v>
      </c>
    </row>
    <row r="88" spans="1:11">
      <c r="C88" s="113" t="s">
        <v>196</v>
      </c>
      <c r="D88" s="113"/>
      <c r="E88" s="111">
        <v>2</v>
      </c>
      <c r="F88" s="111">
        <v>3</v>
      </c>
      <c r="G88" s="111"/>
      <c r="H88" s="111">
        <v>3</v>
      </c>
      <c r="I88" s="111">
        <v>2</v>
      </c>
      <c r="J88" s="111">
        <v>3</v>
      </c>
      <c r="K88" s="111">
        <v>3</v>
      </c>
    </row>
    <row r="89" spans="1:11">
      <c r="C89" s="113" t="s">
        <v>197</v>
      </c>
      <c r="D89" s="113"/>
      <c r="E89" s="111" t="s">
        <v>188</v>
      </c>
      <c r="F89" s="111" t="s">
        <v>189</v>
      </c>
      <c r="G89" s="111"/>
      <c r="H89" s="111" t="s">
        <v>189</v>
      </c>
      <c r="I89" s="111" t="s">
        <v>189</v>
      </c>
      <c r="J89" s="111" t="s">
        <v>189</v>
      </c>
      <c r="K89" s="111" t="s">
        <v>190</v>
      </c>
    </row>
    <row r="90" spans="1:11">
      <c r="A90" s="98" t="s">
        <v>47</v>
      </c>
    </row>
    <row r="91" spans="1:11">
      <c r="A91" s="96">
        <v>1</v>
      </c>
    </row>
    <row r="92" spans="1:11">
      <c r="A92" s="96">
        <v>2</v>
      </c>
    </row>
    <row r="93" spans="1:11">
      <c r="A93" s="96">
        <v>3</v>
      </c>
    </row>
    <row r="94" spans="1:11">
      <c r="A94" s="96">
        <v>4</v>
      </c>
    </row>
    <row r="95" spans="1:11">
      <c r="A95" s="96">
        <v>5</v>
      </c>
    </row>
    <row r="96" spans="1:11">
      <c r="A96" s="96">
        <v>6</v>
      </c>
    </row>
    <row r="97" spans="1:1">
      <c r="A97" s="96">
        <v>7</v>
      </c>
    </row>
    <row r="98" spans="1:1">
      <c r="A98" s="96">
        <v>8</v>
      </c>
    </row>
  </sheetData>
  <sheetProtection selectLockedCells="1" selectUnlockedCells="1"/>
  <mergeCells count="9">
    <mergeCell ref="I13:K13"/>
    <mergeCell ref="E84:E85"/>
    <mergeCell ref="C84:C85"/>
    <mergeCell ref="F84:F85"/>
    <mergeCell ref="G84:G85"/>
    <mergeCell ref="H84:H85"/>
    <mergeCell ref="I84:I85"/>
    <mergeCell ref="J84:J85"/>
    <mergeCell ref="K84:K85"/>
  </mergeCells>
  <pageMargins left="0.7" right="0.7" top="0.75" bottom="0.75" header="0.3" footer="0.3"/>
  <pageSetup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29</vt:i4>
      </vt:variant>
    </vt:vector>
  </HeadingPairs>
  <TitlesOfParts>
    <vt:vector size="36" baseType="lpstr">
      <vt:lpstr>SINGLE SHOWER</vt:lpstr>
      <vt:lpstr>SCENARIO 1 2 3 DATA</vt:lpstr>
      <vt:lpstr>DUAL SHOWER</vt:lpstr>
      <vt:lpstr>SCENARIO 4 5 6 DATA</vt:lpstr>
      <vt:lpstr>MULTI-RES</vt:lpstr>
      <vt:lpstr>SCENARIO 7 8 DATA</vt:lpstr>
      <vt:lpstr>Drop Down Menus</vt:lpstr>
      <vt:lpstr>configuration</vt:lpstr>
      <vt:lpstr>configurationa</vt:lpstr>
      <vt:lpstr>configurationb</vt:lpstr>
      <vt:lpstr>configurationc</vt:lpstr>
      <vt:lpstr>energy</vt:lpstr>
      <vt:lpstr>energy1</vt:lpstr>
      <vt:lpstr>flow_rate_per_application</vt:lpstr>
      <vt:lpstr>'DUAL SHOWER'!flow_rate_per_applicationa</vt:lpstr>
      <vt:lpstr>flowunits</vt:lpstr>
      <vt:lpstr>gangflow</vt:lpstr>
      <vt:lpstr>'DUAL SHOWER'!heater_efficiencya</vt:lpstr>
      <vt:lpstr>'SINGLE SHOWER'!heater_efficiencya</vt:lpstr>
      <vt:lpstr>inflation</vt:lpstr>
      <vt:lpstr>metric_flow_rate</vt:lpstr>
      <vt:lpstr>Model</vt:lpstr>
      <vt:lpstr>Model_Selection</vt:lpstr>
      <vt:lpstr>qty_showers</vt:lpstr>
      <vt:lpstr>'SINGLE SHOWER'!selected_configurationa</vt:lpstr>
      <vt:lpstr>'DUAL SHOWER'!selected_configurationb</vt:lpstr>
      <vt:lpstr>'DUAL SHOWER'!shower_frequency</vt:lpstr>
      <vt:lpstr>'SINGLE SHOWER'!shower_frequency</vt:lpstr>
      <vt:lpstr>shower_time</vt:lpstr>
      <vt:lpstr>showers_per_ecogfx</vt:lpstr>
      <vt:lpstr>table1</vt:lpstr>
      <vt:lpstr>table2</vt:lpstr>
      <vt:lpstr>tempunits</vt:lpstr>
      <vt:lpstr>'DUAL SHOWER'!time_per_unit</vt:lpstr>
      <vt:lpstr>'SINGLE SHOWER'!time_per_unit</vt:lpstr>
      <vt:lpstr>time_per_unita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 Beauchemin</cp:lastModifiedBy>
  <cp:lastPrinted>2022-08-22T19:29:29Z</cp:lastPrinted>
  <dcterms:created xsi:type="dcterms:W3CDTF">2010-02-05T19:44:49Z</dcterms:created>
  <dcterms:modified xsi:type="dcterms:W3CDTF">2025-02-12T18:27:24Z</dcterms:modified>
</cp:coreProperties>
</file>